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bejishvili\Desktop\"/>
    </mc:Choice>
  </mc:AlternateContent>
  <bookViews>
    <workbookView xWindow="0" yWindow="0" windowWidth="20490" windowHeight="7155"/>
  </bookViews>
  <sheets>
    <sheet name="ანალიზი 21.05.19" sheetId="1" r:id="rId1"/>
    <sheet name="ვადები" sheetId="4" r:id="rId2"/>
    <sheet name="შესყიდული რაოდენობა" sheetId="3" r:id="rId3"/>
    <sheet name="შესყიდვა" sheetId="2" r:id="rId4"/>
  </sheets>
  <definedNames>
    <definedName name="_xlnm._FilterDatabase" localSheetId="3" hidden="1">შესყიდვა!$A$1:$N$17</definedName>
    <definedName name="_xlnm.Print_Titles" localSheetId="0">'ანალიზი 21.05.19'!$1:$1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H25" i="1"/>
  <c r="O13" i="1"/>
  <c r="O5" i="1"/>
  <c r="O3" i="1" l="1"/>
  <c r="N30" i="1"/>
  <c r="N31" i="1"/>
  <c r="N32" i="1"/>
  <c r="G2" i="1"/>
  <c r="N2" i="1" s="1"/>
  <c r="D30" i="1"/>
  <c r="D10" i="1"/>
  <c r="D21" i="1"/>
  <c r="D4" i="1"/>
  <c r="G31" i="1"/>
  <c r="G38" i="1"/>
  <c r="N38" i="1" s="1"/>
  <c r="G37" i="1"/>
  <c r="N37" i="1" s="1"/>
  <c r="G3" i="1"/>
  <c r="N3" i="1" s="1"/>
  <c r="G5" i="1"/>
  <c r="N5" i="1" s="1"/>
  <c r="G6" i="1"/>
  <c r="N6" i="1" s="1"/>
  <c r="G7" i="1"/>
  <c r="N7" i="1" s="1"/>
  <c r="G8" i="1"/>
  <c r="N8" i="1" s="1"/>
  <c r="G9" i="1"/>
  <c r="N9" i="1" s="1"/>
  <c r="G10" i="1"/>
  <c r="N10" i="1" s="1"/>
  <c r="G11" i="1"/>
  <c r="N11" i="1" s="1"/>
  <c r="G12" i="1"/>
  <c r="N12" i="1" s="1"/>
  <c r="G13" i="1"/>
  <c r="N13" i="1" s="1"/>
  <c r="G14" i="1"/>
  <c r="N14" i="1" s="1"/>
  <c r="G15" i="1"/>
  <c r="N15" i="1" s="1"/>
  <c r="G16" i="1"/>
  <c r="N16" i="1" s="1"/>
  <c r="G17" i="1"/>
  <c r="N17" i="1" s="1"/>
  <c r="G18" i="1"/>
  <c r="N18" i="1" s="1"/>
  <c r="G19" i="1"/>
  <c r="N19" i="1" s="1"/>
  <c r="G20" i="1"/>
  <c r="N20" i="1" s="1"/>
  <c r="G21" i="1"/>
  <c r="N21" i="1" s="1"/>
  <c r="G22" i="1"/>
  <c r="N22" i="1" s="1"/>
  <c r="G23" i="1"/>
  <c r="N23" i="1" s="1"/>
  <c r="G24" i="1"/>
  <c r="N24" i="1" s="1"/>
  <c r="G25" i="1"/>
  <c r="N25" i="1" s="1"/>
  <c r="G26" i="1"/>
  <c r="N26" i="1" s="1"/>
  <c r="G27" i="1"/>
  <c r="N27" i="1" s="1"/>
  <c r="G28" i="1"/>
  <c r="N28" i="1" s="1"/>
  <c r="G29" i="1"/>
  <c r="N29" i="1" s="1"/>
  <c r="G32" i="1"/>
  <c r="G33" i="1"/>
  <c r="N33" i="1" s="1"/>
  <c r="G34" i="1"/>
  <c r="N34" i="1" s="1"/>
  <c r="G35" i="1"/>
  <c r="N35" i="1" s="1"/>
  <c r="G36" i="1"/>
  <c r="N36" i="1" s="1"/>
  <c r="G39" i="1"/>
  <c r="N39" i="1" s="1"/>
  <c r="G40" i="1"/>
  <c r="N40" i="1" s="1"/>
  <c r="G41" i="1"/>
  <c r="N41" i="1" s="1"/>
  <c r="G42" i="1"/>
  <c r="N42" i="1" s="1"/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2" i="3"/>
  <c r="L45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2" i="3"/>
  <c r="K42" i="3"/>
  <c r="K41" i="3"/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2" i="3"/>
  <c r="E32" i="3"/>
  <c r="H32" i="3" s="1"/>
  <c r="I29" i="3"/>
  <c r="E10" i="3"/>
  <c r="D10" i="3"/>
  <c r="H3" i="3"/>
  <c r="H4" i="3"/>
  <c r="H5" i="3"/>
  <c r="H6" i="3"/>
  <c r="H7" i="3"/>
  <c r="H8" i="3"/>
  <c r="H9" i="3"/>
  <c r="H11" i="3"/>
  <c r="H12" i="3"/>
  <c r="H13" i="3"/>
  <c r="H14" i="3"/>
  <c r="H15" i="3"/>
  <c r="H16" i="3"/>
  <c r="H17" i="3"/>
  <c r="H18" i="3"/>
  <c r="H19" i="3"/>
  <c r="H21" i="3"/>
  <c r="H23" i="3"/>
  <c r="H24" i="3"/>
  <c r="H25" i="3"/>
  <c r="H27" i="3"/>
  <c r="H28" i="3"/>
  <c r="H30" i="3"/>
  <c r="H31" i="3"/>
  <c r="H33" i="3"/>
  <c r="H34" i="3"/>
  <c r="H35" i="3"/>
  <c r="H36" i="3"/>
  <c r="H37" i="3"/>
  <c r="H38" i="3"/>
  <c r="H39" i="3"/>
  <c r="H40" i="3"/>
  <c r="H41" i="3"/>
  <c r="H42" i="3"/>
  <c r="H43" i="3"/>
  <c r="H44" i="3"/>
  <c r="H2" i="3"/>
  <c r="E29" i="3"/>
  <c r="H29" i="3" s="1"/>
  <c r="E26" i="3"/>
  <c r="D26" i="3"/>
  <c r="H26" i="3" s="1"/>
  <c r="E22" i="3"/>
  <c r="H22" i="3" s="1"/>
  <c r="E20" i="3"/>
  <c r="H20" i="3" s="1"/>
  <c r="H10" i="3" l="1"/>
  <c r="P40" i="1"/>
  <c r="P39" i="1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2" i="2"/>
  <c r="J4" i="1"/>
  <c r="G4" i="1" s="1"/>
  <c r="N4" i="1" l="1"/>
  <c r="I2" i="1"/>
  <c r="O2" i="1" l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" i="1"/>
  <c r="I3" i="1" l="1"/>
  <c r="I4" i="1"/>
  <c r="O4" i="1" s="1"/>
  <c r="I5" i="1"/>
  <c r="I6" i="1"/>
  <c r="O6" i="1" s="1"/>
  <c r="I7" i="1"/>
  <c r="I8" i="1"/>
  <c r="O8" i="1" s="1"/>
  <c r="I9" i="1"/>
  <c r="I10" i="1"/>
  <c r="O10" i="1" s="1"/>
  <c r="I11" i="1"/>
  <c r="O11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O24" i="1" s="1"/>
  <c r="I25" i="1"/>
  <c r="O25" i="1" s="1"/>
  <c r="I26" i="1"/>
  <c r="O26" i="1" s="1"/>
  <c r="I27" i="1"/>
  <c r="O27" i="1" s="1"/>
  <c r="I28" i="1"/>
  <c r="O28" i="1" s="1"/>
  <c r="I30" i="1"/>
  <c r="O30" i="1" s="1"/>
  <c r="I31" i="1"/>
  <c r="I32" i="1"/>
  <c r="O32" i="1" s="1"/>
  <c r="I33" i="1"/>
  <c r="O33" i="1" s="1"/>
  <c r="I34" i="1"/>
  <c r="I35" i="1"/>
  <c r="I36" i="1"/>
  <c r="I37" i="1"/>
  <c r="I38" i="1"/>
  <c r="I39" i="1"/>
  <c r="I40" i="1"/>
  <c r="I41" i="1"/>
  <c r="I42" i="1"/>
  <c r="I29" i="1" l="1"/>
  <c r="O29" i="1" s="1"/>
</calcChain>
</file>

<file path=xl/comments1.xml><?xml version="1.0" encoding="utf-8"?>
<comments xmlns="http://schemas.openxmlformats.org/spreadsheetml/2006/main">
  <authors>
    <author>user</author>
    <author>Irina Gobejishvili</author>
  </authors>
  <commentList>
    <comment ref="G17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G19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E28" authorId="1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აღებულია თებერვლის თვის ხარჯვა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G35" authorId="0" shape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საშ.ხარჯვა გათვლილია ბოლო ორი თვის ხარჯვაზე დაყრდნობით</t>
        </r>
      </text>
    </comment>
    <comment ref="P39" authorId="1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P40" authorId="1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2.xml><?xml version="1.0" encoding="utf-8"?>
<comments xmlns="http://schemas.openxmlformats.org/spreadsheetml/2006/main">
  <authors>
    <author>Irina Gobejishvili</author>
  </authors>
  <commentList>
    <comment ref="I29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3.xml><?xml version="1.0" encoding="utf-8"?>
<comments xmlns="http://schemas.openxmlformats.org/spreadsheetml/2006/main">
  <authors>
    <author>Irina Gobejishvili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ადრე გვქონდა იგივე დასახელების 0.21 ლარად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ადრე გვქონდა იგივე დასახელების 0.21 ლარად</t>
        </r>
      </text>
    </comment>
  </commentList>
</comments>
</file>

<file path=xl/sharedStrings.xml><?xml version="1.0" encoding="utf-8"?>
<sst xmlns="http://schemas.openxmlformats.org/spreadsheetml/2006/main" count="545" uniqueCount="284">
  <si>
    <t>N</t>
  </si>
  <si>
    <t>სავაჭრო დასახელება</t>
  </si>
  <si>
    <t>შენიშვნა:</t>
  </si>
  <si>
    <t>ენალაპრილი 10მგ</t>
  </si>
  <si>
    <t>ენალაპრილი 20მგ</t>
  </si>
  <si>
    <t>ენაპი 20მგ</t>
  </si>
  <si>
    <t>ლოსარტანი 100მგ</t>
  </si>
  <si>
    <t>ამლოდიპინი 5მგ</t>
  </si>
  <si>
    <t>მეტოპროლოლი 100მგ</t>
  </si>
  <si>
    <t>ეგილოკი 100მგ</t>
  </si>
  <si>
    <t>ამიოდარონი 200მგ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</si>
  <si>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</si>
  <si>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</si>
  <si>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</si>
  <si>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</si>
  <si>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კლოპიდოგრელი 75მგ</t>
  </si>
  <si>
    <t>დიგოქსინი 0.25მგ</t>
  </si>
  <si>
    <t>ფუროსემიდი 40მგ</t>
  </si>
  <si>
    <t>სპირონოლაქტონი 25მგ</t>
  </si>
  <si>
    <t>ვეროშპირონი 25მგ</t>
  </si>
  <si>
    <t>ატორვასტატინი 20მგ</t>
  </si>
  <si>
    <t>მეტფორმინი 1000მგ</t>
  </si>
  <si>
    <t>სიოფორი 1000მგ</t>
  </si>
  <si>
    <t>გლიკლაზიდი 60მგ</t>
  </si>
  <si>
    <t>გლიმეპირიდი 2მგ</t>
  </si>
  <si>
    <t>ამარილი 2mg</t>
  </si>
  <si>
    <t>თიამაზოლი 5მგ</t>
  </si>
  <si>
    <t>თიროზოლი 5მგ</t>
  </si>
  <si>
    <t>ლევოთიროქსინი  50მკგ</t>
  </si>
  <si>
    <t>ბუდესონიდი 0.5მგ/2მლ</t>
  </si>
  <si>
    <t>პულმიკორტი 0.5მგ/მლ 2მლ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</si>
  <si>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</si>
  <si>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</si>
  <si>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</si>
  <si>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</si>
  <si>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</si>
  <si>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</si>
  <si>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მარაგი (თვე) ცენტრალური საწყობი</t>
  </si>
  <si>
    <t>მარაგი (თვე) საქაღთველო სრულად</t>
  </si>
  <si>
    <t>საჭიროება 12 თვე (ბენეფიციარებზე ხარჯვის მიხედვით)</t>
  </si>
  <si>
    <t>ამ ეტაპზე არ საჭიროებს შესყიდვას მარაგიდან გამომდინარე</t>
  </si>
  <si>
    <t>ლოზაპი/ლორისტა</t>
  </si>
  <si>
    <t>კორდარონი</t>
  </si>
  <si>
    <t>ზილტი 75მგ/პეგორელი 75მგ</t>
  </si>
  <si>
    <t>დიგოქსინი–გრინდექსი</t>
  </si>
  <si>
    <t>ტორვიტინი 20მგ N30</t>
  </si>
  <si>
    <t>ატორვასტატინი 10მგ</t>
  </si>
  <si>
    <t>ატორვასტატინი 40მგ</t>
  </si>
  <si>
    <t>ატორისი 40მგ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</si>
  <si>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</si>
  <si>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</si>
  <si>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</si>
  <si>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</si>
  <si>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ლოსარტან/ჰიდროქლორთიაზიდი 50მგ/12.5მგ</t>
  </si>
  <si>
    <t>ლორისტა H 50მგ/12.5მგ</t>
  </si>
  <si>
    <t>ბისოპროლოლი 5მგ</t>
  </si>
  <si>
    <t>ემკორი 5მგ</t>
  </si>
  <si>
    <t>ნებივოლოლი 5მგ</t>
  </si>
  <si>
    <t>ნებივოლოლი შტადა 5მგ/დანები 5მგ</t>
  </si>
  <si>
    <t>აცეტილსალიცილის მჟავა+მაგნიუმის ჰიდროქსიდი 75მგ</t>
  </si>
  <si>
    <t>კარდიომაგნილი 75მგ</t>
  </si>
  <si>
    <t>აცეტილსალიცილის მჟავა+მაგნიუმის ჰიდროქსიდი 150მგ</t>
  </si>
  <si>
    <t>კარდიომაგნილი 150მგ</t>
  </si>
  <si>
    <t>დიაბეტონი MR 60მგ/ აპო გლიკლაზიდი 60მგ</t>
  </si>
  <si>
    <t>ლ–თიროქსინი/ეუთიროქსი 50მკგ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</si>
  <si>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</si>
  <si>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</si>
  <si>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>საფლუტინი 50/500მკგ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</si>
  <si>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</si>
  <si>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</si>
  <si>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</si>
  <si>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</si>
  <si>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</si>
  <si>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</si>
  <si>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კარბამაზეპინი 200მგ</t>
  </si>
  <si>
    <t>ნეიროლეფსინი 200მგ</t>
  </si>
  <si>
    <t>ნატრიუმის ვალპროატი 300მგ</t>
  </si>
  <si>
    <t>დეპაკინი ქრონო 300მგ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</si>
  <si>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</si>
  <si>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</si>
  <si>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</si>
  <si>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</si>
  <si>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ლემოტრიჯინი 25მგ</t>
  </si>
  <si>
    <t>ლამიქტალი 25მგ</t>
  </si>
  <si>
    <t xml:space="preserve">სალმეტეროლი/ფლუტიკაზონი   50მკგ/250 მკგ საინჰალაციო ფხვნილი                   </t>
  </si>
  <si>
    <t>ერთეულის სავარაუდო ღირებულება (2017 -2018 წლის ერთეულის ფასის მიხედვით (ბოლო სატენდერო ღირებულება)) – ლარი</t>
  </si>
  <si>
    <t>შესასყიდი რაოდენობა 12 თვე (გათვალისიწნებულია  არსებული მარაგები)</t>
  </si>
  <si>
    <t>მედიკამენტის საერთაშორისო არაპატენტური დასახელება</t>
  </si>
  <si>
    <t>არ დგას ვადის გასვლის საფრთხის წინაშე</t>
  </si>
  <si>
    <t>არ დგას ვადის გასვლის საფრთხის წინაშე, არსებული ხარჯვის შენარჩუნების შემთვევაშიც კი</t>
  </si>
  <si>
    <t>1. ახალ დამატებულ მედიკამენტებზე  საწყბიდან ხარჯვის და ბენეფიციარზე ხარჯვის მაჩვენებელი არ არის ზუსტი, ვინაიდან რეალური ხარჯვა დაწყებულია იანვრიდან</t>
  </si>
  <si>
    <t>2. იმ მედიკამენტებზე, სადაც ამ ეტაპზე ხარჯვითი ნაწილი გაურკვევლია, გრაფაში მოცემულია თვის ყველაზე მაღალი მავენებელი</t>
  </si>
  <si>
    <t>ხარჯვა ბებეფიციარი – თებერვალი 2019</t>
  </si>
  <si>
    <t>სტატუსი</t>
  </si>
  <si>
    <t>შესასყიდი რაოდენობა გადაცემულია შესყიდვების სააგენტოსთვის</t>
  </si>
  <si>
    <t>ამ ხარჯვით დგას ვადის გასვლის საფრთხის წინაშე</t>
  </si>
  <si>
    <t>დგას ვადის გასვლის საფრთხის წინაშე</t>
  </si>
  <si>
    <t>4. შესასყიდ რაოდენობებზე ველოდებით შესყიდვების სააგენტოს</t>
  </si>
  <si>
    <t>არ დგას ვადის გასვლის საფრთხის წინაშე ამ ხარჯვითაც</t>
  </si>
  <si>
    <t>3. ეპილეფსია და პარკინსონის საშ.ხარჯვა გამოყვანილია იანვრის და თებერვლის ან მხოლოდ თებერვლის ხარჯვაზე დაყრდნობით</t>
  </si>
  <si>
    <t>5. შესასყიდი რაოდენობა (ლურჯი სვეტი) გაანგარიშებულია 1 თვის წინ, შსაბამისად ამ ეტაპზე შესყიდვების სააგენტოც ამ რაოდენობას შეისყიდის</t>
  </si>
  <si>
    <t>შესასყიდი რაოდენობა(ტაბლეტი, ცალი)</t>
  </si>
  <si>
    <t>მოწოდების გრაფიკი</t>
  </si>
  <si>
    <t>მოქმედების ვადა მედიკამენტის მოწოდების მომენტში</t>
  </si>
  <si>
    <t>შენიშვნა</t>
  </si>
  <si>
    <t xml:space="preserve">არანაკლებ 150 000 ტაბლეტი მოწოდებული უნდა იქნეს არაუგვიანეს ხელშეკრულების გაფორმებიდან 10 (ათი) კალენდარული დღის ვადაში, დარჩენილი რაოდენობა
შემსყიდველის წერილობითი მოთხოვნის შესაბამისად, ამ მოთხოვნით განსაზღვრულ კონკრეტულ  ვადაში.
</t>
  </si>
  <si>
    <t>ვარგისიანობის ვადა მოწოდების მომენტისათვის უნდა იყოს არა ნაკლებ 18 თვისა</t>
  </si>
  <si>
    <t xml:space="preserve">არანაკლებ150 000 ტაბლეტი მოწოდებული უნდა იქნეს არაუგვიანეს ხელშეკრულების გაფორმებიდან 10 (ათი) კალენდარული დღის ვადაში, დარჩენილი რაოდენობა
შემსყიდველის წერილობითი მოთხოვნის შესაბამისად, ამ მოთხოვნით განსაზღვრულ კონკრეტულ  ვადაში.
</t>
  </si>
  <si>
    <t xml:space="preserve">არანაკლებ150 000 ტაბლეტი მოწოდებული უნდა იქნეს არაუგვიანეს ხელშეკრულების გაფორმებიდან 15 (თხუთმეტი) კალენდარული დღის ვადაში, დარჩენილი რაოდენობა
შემსყიდველის წერილობითი მოთხოვნის შესაბამისად, ამ მოთხოვნით განსაზღვრულ კონკრეტულ  ვადაში.
</t>
  </si>
  <si>
    <t xml:space="preserve">არანაკლებ10 000 ტაბლეტი მოწოდებული უნდა იქნეს არაუგვიანეს ხელშეკრულების გაფორმებიდან 15 (თხუთმეტი) კალენდარული დღის ვადაში, დარჩენილი რაოდენობა
შემსყიდველის წერილობითი მოთხოვნის შესაბამისად, ამ მოთხოვნით განსაზღვრულ კონკრეტულ  ვადაში.
</t>
  </si>
  <si>
    <t xml:space="preserve">არანაკლებ 200 000 ტაბლეტი მოწოდებული უნდა იქნეს არაუგვიანეს ხელშეკრულების გაფორმებიდან 30 (ოცდაათი) კალენდარული დღის ვადაში, დარჩენილი რაოდენობა
შემსყიდველის წერილობითი მოთხოვნის შესაბამისად, ამ მოთხოვნით განსაზღვრულ კონკრეტულ  ვადაში.
</t>
  </si>
  <si>
    <t xml:space="preserve">არანაკლებ 8 000 ტაბლეტი მოწოდებული უნდა იქნეს არაუგვიანეს ხელშეკრულების გაფორმებიდან 30 (ოცდაათი) კალენდარული დღის ვადაში, დარჩენილი რაოდენობა
შემსყიდველის წერილობითი მოთხოვნის შესაბამისად, ამ მოთხოვნით განსაზღვრულ კონკრეტულ  ვადაში.
</t>
  </si>
  <si>
    <t>დასაშვებია მთლიანი რაოდენობის ერთ ეტაპად მიღება, თუ სამკურნალო საშუალების ვარგისიანობის ვადა მოწოდების მომენტისათვის იქნება 24 თვეზე მეტი</t>
  </si>
  <si>
    <t xml:space="preserve">არანაკლებ 5000 ცალი მოწოდებული უნდა იქნეს არაუგვიანეს ხელშეკრულების გაფორმებიდან 15 (თხუთმეტი) კალენდარული დღის ვადაში, დარჩენილი რაოდენობა
შემსყიდველის წერილობითი მოთხოვნის შესაბამისად, ამ მოთხოვნით განსაზღვრულ კონკრეტულ  ვადაში.
</t>
  </si>
  <si>
    <t xml:space="preserve">არანაკლებ 2000 ცალი მოწოდებული უნდა იქნეს არაუგვიანეს ხელშეკრულების გაფორმებიდან 15 (თხუთმეტი) კალენდარული დღის ვადაში, დარჩენილი რაოდენობა
შემსყიდველის წერილობითი მოთხოვნის შესაბამისად, ამ მოთხოვნით განსაზღვრულ კონკრეტულ  ვადაში.
</t>
  </si>
  <si>
    <t xml:space="preserve">არანაკლებ 350 ცალი მოწოდებული უნდა იქნეს არაუგვიანეს ხელშეკრულების გაფორმებიდან 15 (თხუთმეტი) კალენდარული დღის ვადაში, დარჩენილი რაოდენობა
შემსყიდველის წერილობითი მოთხოვნის შესაბამისად, ამ მოთხოვნით განსაზღვრულ კონკრეტულ  ვადაში.
</t>
  </si>
  <si>
    <t>პირველ ეტაპზე მოსაწოდებელი სამკურნალო საშუალების ვარგისიანობის ვადა მოწოდების მომენტისათვის უნდა იყოს არა ნაკლებ 12 თვისა, ხოლო დარჩენილი მოსაწოდებელი სამკურნალო საშუალების ვარგისიანობის ვადა მოწოდების მომენტისათვის უნდა იყოს არა ნაკლებ 18 თვისა</t>
  </si>
  <si>
    <t>დასაშვებია მთლიანი რაოდენობის ერთ ეტაპად მიღება, თუ სამკურნალო საშუალების ვარგისიანობის ვადა მოწოდების მომენტისათვის იქნება 30 თვეზე მეტი</t>
  </si>
  <si>
    <t>სავრაუდო ასანაზღაურებელი ღირებულება (ლარი)</t>
  </si>
  <si>
    <t>ერთ.ფასი სოციალური მომსახურების სააგენტოსმიხედვით (ლარი)</t>
  </si>
  <si>
    <t>ერთ.ფასი შესყიდვების სააგენტოს მიხედვით (ლარი)</t>
  </si>
  <si>
    <t>შესასყიდი ღირებულება (ლარი)</t>
  </si>
  <si>
    <t>კონსოლიდირებული ტენდერი</t>
  </si>
  <si>
    <t>არ შედგა</t>
  </si>
  <si>
    <t>CON190000045</t>
  </si>
  <si>
    <t>სავაჭრო დასახელება /მწარმოებელი სოციალური მომსახურების სააგენტო</t>
  </si>
  <si>
    <t>სავაჭრო დასახელება /მწარმოებელი შესყიდვების სააგენტო</t>
  </si>
  <si>
    <t>პეგორელი 75მგ,ჯი ემ პი საქართველო</t>
  </si>
  <si>
    <t>ზილტი, კრკა, ხორვატია</t>
  </si>
  <si>
    <t>დიგოქსინი–გრინდექსი,ლატვია</t>
  </si>
  <si>
    <t>CON190000097</t>
  </si>
  <si>
    <t>შესყიდვების სააგენტოს მიერ შემოთავაზებული მომწოდებელი</t>
  </si>
  <si>
    <t>პსპ ფარმა</t>
  </si>
  <si>
    <t>სს გეფა</t>
  </si>
  <si>
    <t>სიოფორი 1000მგ, ბერლინ ქიმია, გერმანია</t>
  </si>
  <si>
    <t xml:space="preserve"> აპო გლიკლაზიდი 60მგ, აპოტექსი,კანადა</t>
  </si>
  <si>
    <t>ამარილი 2mg, სანოფი ავენტისი, ლატვია</t>
  </si>
  <si>
    <t>ლ-თიროქსინი,ბერლინ-ჰემ მენარინი, გერმანია</t>
  </si>
  <si>
    <t>ეუთიროქსი 50მკგ, Merck KgaA, გერმანია</t>
  </si>
  <si>
    <t>პულმიკორტი 0.5მგ/მლ 2მლ,ასტრა ზენეკა, შვედეთი</t>
  </si>
  <si>
    <t xml:space="preserve">CON190000098
</t>
  </si>
  <si>
    <t>შპს ავერსი ფარმა</t>
  </si>
  <si>
    <t>სალბუტამოლი აეროზოლი 200დოზა,გლაქსო სმიტ კლაინი, საფრანგეთი</t>
  </si>
  <si>
    <t>სალბუტამოლი  აეროზ. 200 დოზა, Glaxo Wellcome Production, საფრანგეთი</t>
  </si>
  <si>
    <t>CON190000047</t>
  </si>
  <si>
    <t xml:space="preserve"> ეარფლუსალი 50/250მკგ ინჰ 60 დოზა, აეროფარმა, გერმანია</t>
  </si>
  <si>
    <t>200 000 ტაბლეტი არაუგვიანეს 2019 წლის 1 აპრილისა, დარჩენილი რაოდენობა შემსყიდველის წერილობითი მოთხოვნის შესაბამისად, ამ მოთხოვნით განსაზღვრულ კონკრეტულ  ვადაში.</t>
  </si>
  <si>
    <t>60 000 ტაბლეტი არაუგვიანეს 2019 წლის 1 მაისიასა, დარჩენილი რაოდენობა შემსყიდველის წერილობითი მოთხოვნის შესაბამისად, ამ მოთხოვნით განსაზღვრულ კონკრეტულ  ვადაში.</t>
  </si>
  <si>
    <t>დასაშვებია მთლიანი რაოდენობის ერთ ეტაპად მიღება, თუ სამკურნალო საშუალების ვარგისიანობის ვადა მოწოდების მომენტისათვის იქნება 24 თვე</t>
  </si>
  <si>
    <t>1 000 000 ტაბლეტი არაუგვიანეს 2019 წლის 1 მაისიასა, დარჩენილი რაოდენობა შემსყიდველის წერილობითი მოთხოვნის შესაბამისად, ამ მოთხოვნით განსაზღვრულ კონკრეტულ  ვადაში.</t>
  </si>
  <si>
    <t>50 000ტაბლეტი არაუგვიანეს 2019 წლის 1 აპრილისა, დარჩენილი რაოდენობა შემსყიდველის წერილობითი მოთხოვნის შესაბამისად, ამ მოთხოვნით განსაზღვრულ კონკრეტულ  ვადაში.</t>
  </si>
  <si>
    <t>2000 ცალი არაუგვიანეს 2019 წლის 15 აპრილისა, დარჩენილი რაოდენობა შემსყიდველის წერილობითი მოთხოვნის შესაბამისად, ამ მოთხოვნით განსაზღვრულ კონკრეტულ  ვადაში.</t>
  </si>
  <si>
    <t xml:space="preserve">დასაშვებია მთლიანი რაოდენობის ერთ ეტაპად მიღება, თუ სამკურნალო საშუალების ვარგისიანობის ვადა მოწოდების მომენტისათვის იქნება 24 თვე </t>
  </si>
  <si>
    <t>2000 ტაბლეტი არაუგვიანეს 2019 წლის 1 აპრილისა, დარჩენილი რაოდენობა შემსყიდველის წერილობითი მოთხოვნის შესაბამისად, ამ მოთხოვნით განსაზღვრულ კონკრეტულ  ვადაში.</t>
  </si>
  <si>
    <t>მედიკამენტის დასახელება</t>
  </si>
  <si>
    <t>ვეროშპირონი</t>
  </si>
  <si>
    <t>ტორვიტინი 20მგ N20</t>
  </si>
  <si>
    <t xml:space="preserve">ატორისი 40მგ </t>
  </si>
  <si>
    <t>ამრადიპინი 4მგ/5მგ</t>
  </si>
  <si>
    <t>ამრადიპინი 8მგ/10მგ</t>
  </si>
  <si>
    <t>პერინდოპრილ ინდაპამიდი 4მგ/1.25მგ</t>
  </si>
  <si>
    <t>ლორისტა H  50მგ/12.5მგ</t>
  </si>
  <si>
    <t>ემკორი 5მგ N30</t>
  </si>
  <si>
    <t>დიაბეტონი MR 60მგ</t>
  </si>
  <si>
    <t>ლ–თიროქსინი</t>
  </si>
  <si>
    <t>ალბუტეროლი  2.5მგ/0.5მლ 0.5მლ</t>
  </si>
  <si>
    <t>ალბუტეროლის სულფატი 0.5% 2.5მგ/0.5მლ</t>
  </si>
  <si>
    <t xml:space="preserve">სალმეტეროლი/ფლუტიკაზონი   50მკგ/250მკგ საინჰალაციო ფხვნილი                   </t>
  </si>
  <si>
    <t>ნაკომი 250მგ</t>
  </si>
  <si>
    <t>მადოპარი 125მგ</t>
  </si>
  <si>
    <t>ლევეტირაცეტამი აკორდი 500მგ</t>
  </si>
  <si>
    <t>ლემოტრიჯინი 250მგ</t>
  </si>
  <si>
    <t>შესყიდული რაოდენობა 2018</t>
  </si>
  <si>
    <t>შესყიდული რაოდენობა 2017</t>
  </si>
  <si>
    <t>დაგეგმილი შესყიდვა 2019</t>
  </si>
  <si>
    <t>ლოზაპი/ლორისტა 100მგ/losar denki</t>
  </si>
  <si>
    <t>ნებივოლოლი შტადა 5მგ/დანები 5მგ N28</t>
  </si>
  <si>
    <t>ნაშთი 01.03.2019</t>
  </si>
  <si>
    <t>სულ 2017+2018</t>
  </si>
  <si>
    <t>სერეტიდი დისკუსი 50/250მკგ ინჰ 60 დოზა/ეარფლუსალი 50/250მკგ</t>
  </si>
  <si>
    <t>2019 წლის 1 მარტამდა გაიხარჯა</t>
  </si>
  <si>
    <t>ერთ ფასი (ბოლო)</t>
  </si>
  <si>
    <t>ხარჯის სავარაუდო ღირებულება</t>
  </si>
  <si>
    <t>სულ 2017+2018+2019</t>
  </si>
  <si>
    <t>05.2020წ</t>
  </si>
  <si>
    <t>28.02.2021წ</t>
  </si>
  <si>
    <t>03.2020წ</t>
  </si>
  <si>
    <t>31.12.2018წ/31.01.2019წ</t>
  </si>
  <si>
    <t>31.03.2021/30.06.2021წ</t>
  </si>
  <si>
    <t>04.2021წ</t>
  </si>
  <si>
    <t>01.2021წ/06.2021წ</t>
  </si>
  <si>
    <t>13.05.2022</t>
  </si>
  <si>
    <t>09.2023წ/06.2023წ</t>
  </si>
  <si>
    <t>12.2020წ/06.2021წ</t>
  </si>
  <si>
    <t>06.2022წ</t>
  </si>
  <si>
    <t>06.2020წ/09.2020წ</t>
  </si>
  <si>
    <t>07.05.2021წ</t>
  </si>
  <si>
    <t>03.2021წ</t>
  </si>
  <si>
    <t>05.2021წ</t>
  </si>
  <si>
    <t>ლოზაპი/ლორისტა/ლოსარ დენკი</t>
  </si>
  <si>
    <t>03.2020წ/06.2020წ/09.2020წ</t>
  </si>
  <si>
    <t>15.10.2020წ/03.07.2021წ</t>
  </si>
  <si>
    <t>11.2020წ</t>
  </si>
  <si>
    <t>11.2021წ</t>
  </si>
  <si>
    <t>09.2020წ</t>
  </si>
  <si>
    <t>09.2021წ</t>
  </si>
  <si>
    <t>04.2020წ/11.2020წ</t>
  </si>
  <si>
    <t>11.2020წ/12.2021წ</t>
  </si>
  <si>
    <t>10.2021წ</t>
  </si>
  <si>
    <t>04.2021წ/06.2021წ</t>
  </si>
  <si>
    <t>08.2022წ</t>
  </si>
  <si>
    <t>07.2023წ/10.2023წ</t>
  </si>
  <si>
    <t>08.2021წ/10.2021წ</t>
  </si>
  <si>
    <t>11.2022წ/01.2023წ</t>
  </si>
  <si>
    <t>31.03.2020წ/30.04.2021წ</t>
  </si>
  <si>
    <t>08.2021წ/08.2023წ</t>
  </si>
  <si>
    <t>31.12.2019/03.2021წ</t>
  </si>
  <si>
    <t>04.2020წ/10.2020წ</t>
  </si>
  <si>
    <t>31.08.2019</t>
  </si>
  <si>
    <t>03.2019წ/07.2022წ</t>
  </si>
  <si>
    <t>03.2020წ/11.2020წ</t>
  </si>
  <si>
    <t>03.2022წ/06.2022წ</t>
  </si>
  <si>
    <t>02.2022წ/08.2022წ</t>
  </si>
  <si>
    <t>04.2020წ</t>
  </si>
  <si>
    <t>11.2020წ/08.2022წ</t>
  </si>
  <si>
    <t>12.2021წ/03.2022წ</t>
  </si>
  <si>
    <t>08.2019წ</t>
  </si>
  <si>
    <t>05.2020წ/11.2020წ</t>
  </si>
  <si>
    <t>02.2020წ/09.2020წ</t>
  </si>
  <si>
    <t>03.2020წ/07.2020წ</t>
  </si>
  <si>
    <t>06.2019წ/08.2019წ/01.2020წ</t>
  </si>
  <si>
    <t>28.02.2019წ</t>
  </si>
  <si>
    <t>12.2019წ/02.2020წ/30.04.2020წ</t>
  </si>
  <si>
    <t>11.2018წ/05.2019წ</t>
  </si>
  <si>
    <t>30.04.2019/31.05.2019</t>
  </si>
  <si>
    <t>06.2021წ/02.2022წ</t>
  </si>
  <si>
    <t>02.2021წ/12.2021წ</t>
  </si>
  <si>
    <t>07.2021წ</t>
  </si>
  <si>
    <t>შესყიდვა 2017</t>
  </si>
  <si>
    <t>შესყიდვა 2018</t>
  </si>
  <si>
    <t>ხარჯვა ბებეფიციარი – მარტი2019</t>
  </si>
  <si>
    <t>ხარჯვა ბებეფიციარი – აპრილი 2019</t>
  </si>
  <si>
    <t>ხარჯვა ბებეფიციარი – 1-20 მაისი 2019</t>
  </si>
  <si>
    <t>ნაშთი პსპ ბაზა 21.05.2019</t>
  </si>
  <si>
    <t>ნაშთი  საქართველო სრულად 21.05.2019მდგომარეობით</t>
  </si>
  <si>
    <t xml:space="preserve"> საშუალო ხარჯვა ბენეფიციარზე  ბოლო 3 თვის ( თებერვალი–აპრილი) მაგალითზე</t>
  </si>
  <si>
    <t>ერთეულის ღირებულება 2019 წლის შესყიდვის მიხედვით</t>
  </si>
  <si>
    <t>დასრულებულია შესყიდვის პროცედურები, ველოდებით საქონლის მოწოდებას</t>
  </si>
  <si>
    <t>შესყიდვა განხორცილედა 790540 ტაბლეტზე, რაც დაიგეგმა იანვარში</t>
  </si>
  <si>
    <t>საწყბში დარჩენილი მარაგებიდან გამომდინარე,დასაწყებია შესყიდვის პროცედურები</t>
  </si>
  <si>
    <t>ლოსარ დენკი</t>
  </si>
  <si>
    <t>დასრულებულია შესყიდვის პროცედურები, მივიღეთ მცირე ანწილი, ველოდებით საქონლის მოწოდებას</t>
  </si>
  <si>
    <t>შესყიდვა განხორცილედა 1 239 056 ტაბლეტზე, რაც დაიგეგმა იანვარში</t>
  </si>
  <si>
    <t xml:space="preserve">საყურადღებოა 1 გარემოება: პენდოპრილ/ამლოდიპინის კომბინირებული მედიკამენტის ჩართვამ პროგრამაში არ შეამცირა მედიკამენტის მოხმარება. </t>
  </si>
  <si>
    <t>მარაგი ფაქტიურად აღარ არსებობს!!!!</t>
  </si>
  <si>
    <t>677 880 ტაბლეტის შესყიდვა გადაცემულია შესყიდვების სააგენტოსთის,სტატუსი გაურკვევლია!!!!</t>
  </si>
  <si>
    <t>საწყობში მარაგი ფაქტიურად აღარ არსებობს!!!!</t>
  </si>
  <si>
    <t>42480 ტაბლეტის შესყიდვა გადაცემულია შესყიდვების სააგენტოსთის,სტატუსი გაურკვევლია!!!!</t>
  </si>
  <si>
    <t>კლოპიდოგრელი აკორდი 75მგ</t>
  </si>
  <si>
    <t>შესყიდვა განხორცილედა 401520 ტაბლეტზე, რაც დაიგეგმა იანვარში</t>
  </si>
  <si>
    <t>დასრულებულია , ველოდებით საქონლის მოწოდებას</t>
  </si>
  <si>
    <t>მარაგი საწყობში ფაქტიურად ამოწურულია!!!!</t>
  </si>
  <si>
    <t>131 950 ტაბლეტის შესყიდვა გადაცემულია შესყიდვების სააგენტოსთის,სტატუსი გაურკვევლია!!!!</t>
  </si>
  <si>
    <t>ვინაიდან 10მგ–იანი დგას ვადის გასვლის საფრთხის წინაშე, ამ ეტაპზე მიზანშეწონილი არ იქნება 20 მგ–იანის შესყიდვა!!!</t>
  </si>
  <si>
    <t>ხარჯვა თუ შენარჩუნდება ამ მაჩვენებელზე დადგება ვადის გასვლის საფრთხის წინაშე</t>
  </si>
  <si>
    <t>საწყობში მარაგი ფაქტიურად ამოწურულია!!!!</t>
  </si>
  <si>
    <t>2 123 400 ტაბლეტის შესყიდვა გადაცემულია შესყიდვების სააგენტოსთის,სტატუსი გაურკვევლია!!!!</t>
  </si>
  <si>
    <t>316 800ტაბლეტის შესყიდვა გადაცემულია შესყიდვების სააგენტოსთის,სტატუსი გაურკვევლია!!!!</t>
  </si>
  <si>
    <t>საწყობში მარაგი მალე ამოიწურება!!!</t>
  </si>
  <si>
    <t>შესყიდვა განხორცილედა 572 580 ტაბლეტზე, რაც დაიგეგმა იანვარში</t>
  </si>
  <si>
    <t>44 100ტაბლეტის შესყიდვა გადაცემულია შესყიდვების სააგენტოსთის,სტატუსი გაურკვევლია!!!!</t>
  </si>
  <si>
    <t>722 850  ტაბლეტის შესყიდვა გადაცემულია შესყიდვების სააგენტოსთის,სტატუსი გაურკვევლია!!!!</t>
  </si>
  <si>
    <t>საწყობში და საქ.მასშტაბით მარაგი ფაქტიურად აღარ არსებობს!!!!</t>
  </si>
  <si>
    <t>19000 ცალის  შესყიდვა გადაცემულია შესყიდვების სააგენტოსთის,სტატუსი გაურკვევლია!!!!</t>
  </si>
  <si>
    <t>5098 ცალი შევისყიდეთ გადაუდებლით, 14 902 ცალი შესასყიდია შესყიდვების სააგენტოს მიერ</t>
  </si>
  <si>
    <t>შესასყიდი რაოდენობა (6051 ცალი) გადაცემულია შესყიდვების სააგენტოსთვის</t>
  </si>
  <si>
    <t>2000 ცალს გაუვა მოქმედების ვადა 31 მაისს!!!! 1 ივნისიდან მედიკამენტი დეფიციტშია</t>
  </si>
  <si>
    <t>შესყიდვის პროცედურები დასრულდა, მედიკამენტი მიღებულია,თუმცა ვყიდულობთ დამატებით 5000 ერთეულს, ვინაიდან 2020 წლის ივლისამდე საონელი ქვეყანაში ვერ შემოვა</t>
  </si>
  <si>
    <t>შესყიდვის აუცილებლობა დადგა საწყობის მარაგებიდან გამომდინარე</t>
  </si>
  <si>
    <t>შესასყიდი რაოდენობა (10 000 ტაბლეტი)  გადაცემულია შესყიდვების სააგენტოსთვის</t>
  </si>
  <si>
    <t>შესყიდვის პროცედურების გახანგრძლევებული მდგომარეობიდან გამომდინარე, მიზანშეწონილია დავიწყოთ შესყიდვის პროცედურები</t>
  </si>
  <si>
    <t>საშუალო ხარჯვა ცენტრალური საწყობიდან (ბოლო 3 თვის განაწილების მაგალითზე)</t>
  </si>
  <si>
    <t>შესაძლებელია შეწყიდვის პროცედურების დაწყება საწყობის შესავსებად</t>
  </si>
  <si>
    <t>ზოგიერთ პოზიციაზე იმდენად მომატებულია ხარჯვა, რომ შესაძლებელია დავიწყოთ დამატებითი შესყიდვები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</si>
</sst>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_);_(* \(#,##0.0\);_(* &quot;-&quot;??_);_(@_)"/>
    <numFmt numFmtId="167" formatCode="_(* #,##0.0_);_(* \(#,##0.0\);_(* &quot;-&quot;?_);_(@_)"/>
    <numFmt numFmtId="168" formatCode="_(* #,##0.0000_);_(* \(#,##0.0000\);_(* &quot;-&quot;??_);_(@_)"/>
    <numFmt numFmtId="169" formatCode="_(* #,##0.00000_);_(* \(#,##0.00000\);_(* &quot;-&quot;??_);_(@_)"/>
    <numFmt numFmtId="170" formatCode="_(* #,##0.0000000_);_(* \(#,##0.000000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Menlo Bold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  <scheme val="minor"/>
    </font>
    <font>
      <b/>
      <sz val="7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7"/>
      <color theme="1"/>
      <name val="Sylfaen"/>
      <family val="1"/>
    </font>
    <font>
      <sz val="8"/>
      <color theme="1"/>
      <name val="Sylfaen"/>
      <family val="1"/>
    </font>
    <font>
      <sz val="7"/>
      <color theme="1"/>
      <name val="Sylfaen"/>
      <family val="1"/>
      <charset val="204"/>
    </font>
    <font>
      <sz val="6.5"/>
      <color theme="1"/>
      <name val="Sylfae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Menlo Bold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216">
    <xf numFmtId="0" fontId="0" fillId="0" borderId="0" xfId="0"/>
    <xf numFmtId="1" fontId="5" fillId="2" borderId="1" xfId="2" applyNumberFormat="1" applyFont="1" applyFill="1" applyBorder="1" applyAlignment="1">
      <alignment horizontal="center" vertical="center" wrapText="1"/>
    </xf>
    <xf numFmtId="2" fontId="5" fillId="2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textRotation="90" wrapText="1"/>
    </xf>
    <xf numFmtId="0" fontId="5" fillId="9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7" fillId="5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1" borderId="1" xfId="1" applyNumberFormat="1" applyFont="1" applyFill="1" applyBorder="1" applyAlignment="1">
      <alignment horizontal="center" vertical="center" wrapText="1"/>
    </xf>
    <xf numFmtId="166" fontId="6" fillId="9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8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8" fontId="6" fillId="0" borderId="1" xfId="1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 wrapText="1"/>
    </xf>
    <xf numFmtId="43" fontId="5" fillId="11" borderId="1" xfId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 wrapText="1"/>
    </xf>
    <xf numFmtId="168" fontId="6" fillId="3" borderId="1" xfId="1" applyNumberFormat="1" applyFont="1" applyFill="1" applyBorder="1" applyAlignment="1">
      <alignment horizontal="center" vertical="center"/>
    </xf>
    <xf numFmtId="169" fontId="6" fillId="3" borderId="1" xfId="1" applyNumberFormat="1" applyFont="1" applyFill="1" applyBorder="1" applyAlignment="1">
      <alignment horizontal="center" vertical="center"/>
    </xf>
    <xf numFmtId="43" fontId="6" fillId="9" borderId="1" xfId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11" borderId="1" xfId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textRotation="90" wrapText="1"/>
    </xf>
    <xf numFmtId="1" fontId="11" fillId="2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7" fillId="1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43" fontId="6" fillId="3" borderId="1" xfId="1" applyFont="1" applyFill="1" applyBorder="1" applyAlignment="1">
      <alignment horizontal="left" wrapText="1"/>
    </xf>
    <xf numFmtId="168" fontId="6" fillId="0" borderId="1" xfId="1" applyNumberFormat="1" applyFont="1" applyBorder="1" applyAlignment="1">
      <alignment horizontal="left" wrapText="1"/>
    </xf>
    <xf numFmtId="43" fontId="6" fillId="4" borderId="1" xfId="1" applyFont="1" applyFill="1" applyBorder="1" applyAlignment="1">
      <alignment horizontal="left" wrapText="1"/>
    </xf>
    <xf numFmtId="168" fontId="6" fillId="0" borderId="1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 wrapText="1"/>
    </xf>
    <xf numFmtId="165" fontId="6" fillId="0" borderId="1" xfId="1" applyNumberFormat="1" applyFont="1" applyBorder="1" applyAlignment="1">
      <alignment horizontal="left"/>
    </xf>
    <xf numFmtId="168" fontId="6" fillId="3" borderId="1" xfId="1" applyNumberFormat="1" applyFont="1" applyFill="1" applyBorder="1" applyAlignment="1">
      <alignment horizontal="left"/>
    </xf>
    <xf numFmtId="169" fontId="6" fillId="3" borderId="1" xfId="1" applyNumberFormat="1" applyFont="1" applyFill="1" applyBorder="1" applyAlignment="1">
      <alignment horizontal="left"/>
    </xf>
    <xf numFmtId="43" fontId="6" fillId="12" borderId="1" xfId="1" applyFont="1" applyFill="1" applyBorder="1" applyAlignment="1">
      <alignment horizontal="left" wrapText="1"/>
    </xf>
    <xf numFmtId="165" fontId="6" fillId="3" borderId="1" xfId="1" applyNumberFormat="1" applyFont="1" applyFill="1" applyBorder="1" applyAlignment="1">
      <alignment horizontal="left" wrapText="1"/>
    </xf>
    <xf numFmtId="43" fontId="6" fillId="8" borderId="1" xfId="1" applyFont="1" applyFill="1" applyBorder="1" applyAlignment="1">
      <alignment horizontal="left" wrapText="1"/>
    </xf>
    <xf numFmtId="43" fontId="6" fillId="3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2" fontId="5" fillId="2" borderId="1" xfId="2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 wrapText="1"/>
    </xf>
    <xf numFmtId="43" fontId="17" fillId="0" borderId="1" xfId="1" applyFont="1" applyFill="1" applyBorder="1" applyAlignment="1">
      <alignment horizontal="left"/>
    </xf>
    <xf numFmtId="0" fontId="8" fillId="8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right"/>
    </xf>
    <xf numFmtId="4" fontId="18" fillId="0" borderId="1" xfId="0" applyNumberFormat="1" applyFont="1" applyFill="1" applyBorder="1" applyAlignment="1">
      <alignment horizontal="righ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43" fontId="19" fillId="0" borderId="1" xfId="1" applyFont="1" applyBorder="1" applyAlignment="1">
      <alignment horizontal="center" vertical="center" wrapText="1"/>
    </xf>
    <xf numFmtId="43" fontId="19" fillId="0" borderId="8" xfId="1" applyFont="1" applyBorder="1" applyAlignment="1">
      <alignment horizontal="center" vertical="center" wrapText="1"/>
    </xf>
    <xf numFmtId="168" fontId="20" fillId="0" borderId="1" xfId="1" applyNumberFormat="1" applyFont="1" applyBorder="1"/>
    <xf numFmtId="170" fontId="6" fillId="0" borderId="1" xfId="1" applyNumberFormat="1" applyFont="1" applyBorder="1" applyAlignment="1">
      <alignment horizontal="center" vertical="center" wrapText="1"/>
    </xf>
    <xf numFmtId="1" fontId="22" fillId="0" borderId="1" xfId="2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top" wrapText="1"/>
    </xf>
    <xf numFmtId="0" fontId="23" fillId="10" borderId="2" xfId="0" applyFont="1" applyFill="1" applyBorder="1" applyAlignment="1">
      <alignment vertical="top" wrapText="1"/>
    </xf>
    <xf numFmtId="0" fontId="23" fillId="10" borderId="1" xfId="0" applyFont="1" applyFill="1" applyBorder="1" applyAlignment="1">
      <alignment vertical="top" wrapText="1"/>
    </xf>
    <xf numFmtId="0" fontId="23" fillId="10" borderId="2" xfId="0" applyFont="1" applyFill="1" applyBorder="1" applyAlignment="1">
      <alignment vertical="center" wrapText="1"/>
    </xf>
    <xf numFmtId="0" fontId="21" fillId="14" borderId="1" xfId="0" applyFont="1" applyFill="1" applyBorder="1" applyAlignment="1">
      <alignment wrapText="1"/>
    </xf>
    <xf numFmtId="0" fontId="23" fillId="14" borderId="1" xfId="0" applyFont="1" applyFill="1" applyBorder="1" applyAlignment="1">
      <alignment vertical="top" wrapText="1"/>
    </xf>
    <xf numFmtId="0" fontId="21" fillId="15" borderId="1" xfId="0" applyFont="1" applyFill="1" applyBorder="1" applyAlignment="1">
      <alignment wrapText="1"/>
    </xf>
    <xf numFmtId="0" fontId="23" fillId="2" borderId="2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vertical="top" wrapText="1"/>
    </xf>
    <xf numFmtId="0" fontId="23" fillId="4" borderId="2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vertical="top" wrapText="1"/>
    </xf>
    <xf numFmtId="0" fontId="23" fillId="13" borderId="2" xfId="0" applyFont="1" applyFill="1" applyBorder="1" applyAlignment="1">
      <alignment vertical="top" wrapText="1"/>
    </xf>
    <xf numFmtId="0" fontId="23" fillId="2" borderId="1" xfId="0" applyFont="1" applyFill="1" applyBorder="1" applyAlignment="1">
      <alignment vertical="top" wrapText="1"/>
    </xf>
    <xf numFmtId="0" fontId="21" fillId="14" borderId="1" xfId="0" applyFont="1" applyFill="1" applyBorder="1" applyAlignment="1"/>
    <xf numFmtId="0" fontId="0" fillId="0" borderId="0" xfId="0" applyAlignment="1"/>
    <xf numFmtId="0" fontId="23" fillId="4" borderId="2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/>
    </xf>
    <xf numFmtId="0" fontId="23" fillId="15" borderId="1" xfId="0" applyFont="1" applyFill="1" applyBorder="1" applyAlignment="1">
      <alignment horizontal="center" vertical="center" wrapText="1"/>
    </xf>
    <xf numFmtId="2" fontId="22" fillId="0" borderId="1" xfId="2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vertical="top" wrapText="1"/>
    </xf>
    <xf numFmtId="0" fontId="23" fillId="4" borderId="4" xfId="0" applyFont="1" applyFill="1" applyBorder="1" applyAlignment="1">
      <alignment vertical="top" wrapText="1"/>
    </xf>
    <xf numFmtId="0" fontId="23" fillId="4" borderId="1" xfId="0" applyFont="1" applyFill="1" applyBorder="1" applyAlignment="1">
      <alignment vertical="center" wrapText="1"/>
    </xf>
    <xf numFmtId="0" fontId="23" fillId="13" borderId="4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vertical="center" wrapText="1"/>
    </xf>
    <xf numFmtId="0" fontId="23" fillId="10" borderId="4" xfId="0" applyFont="1" applyFill="1" applyBorder="1" applyAlignment="1">
      <alignment vertical="top" wrapText="1"/>
    </xf>
    <xf numFmtId="0" fontId="24" fillId="10" borderId="1" xfId="0" applyFont="1" applyFill="1" applyBorder="1" applyAlignment="1">
      <alignment vertical="top" wrapText="1"/>
    </xf>
    <xf numFmtId="0" fontId="23" fillId="2" borderId="2" xfId="0" applyFont="1" applyFill="1" applyBorder="1" applyAlignment="1">
      <alignment vertical="center" wrapText="1"/>
    </xf>
    <xf numFmtId="168" fontId="20" fillId="0" borderId="1" xfId="1" applyNumberFormat="1" applyFont="1" applyBorder="1" applyAlignment="1">
      <alignment horizontal="center" vertical="center" wrapText="1"/>
    </xf>
    <xf numFmtId="168" fontId="20" fillId="0" borderId="1" xfId="1" applyNumberFormat="1" applyFont="1" applyBorder="1" applyAlignment="1">
      <alignment horizontal="center" vertical="center"/>
    </xf>
    <xf numFmtId="165" fontId="20" fillId="0" borderId="1" xfId="1" applyNumberFormat="1" applyFont="1" applyBorder="1" applyAlignment="1">
      <alignment horizontal="center" vertical="center" wrapText="1"/>
    </xf>
    <xf numFmtId="170" fontId="20" fillId="0" borderId="1" xfId="1" applyNumberFormat="1" applyFont="1" applyBorder="1" applyAlignment="1">
      <alignment horizontal="center" vertical="center" wrapText="1"/>
    </xf>
    <xf numFmtId="43" fontId="20" fillId="0" borderId="1" xfId="1" applyFont="1" applyBorder="1"/>
    <xf numFmtId="165" fontId="20" fillId="0" borderId="1" xfId="1" applyNumberFormat="1" applyFont="1" applyBorder="1"/>
    <xf numFmtId="165" fontId="20" fillId="0" borderId="1" xfId="1" applyNumberFormat="1" applyFont="1" applyBorder="1" applyAlignment="1">
      <alignment horizontal="center" vertical="center"/>
    </xf>
    <xf numFmtId="168" fontId="20" fillId="3" borderId="1" xfId="1" applyNumberFormat="1" applyFont="1" applyFill="1" applyBorder="1" applyAlignment="1">
      <alignment horizontal="center" vertical="center"/>
    </xf>
    <xf numFmtId="169" fontId="20" fillId="3" borderId="1" xfId="1" applyNumberFormat="1" applyFont="1" applyFill="1" applyBorder="1" applyAlignment="1">
      <alignment horizontal="center" vertical="center"/>
    </xf>
    <xf numFmtId="43" fontId="20" fillId="3" borderId="1" xfId="1" applyFont="1" applyFill="1" applyBorder="1" applyAlignment="1">
      <alignment horizontal="center" vertical="center"/>
    </xf>
    <xf numFmtId="43" fontId="20" fillId="3" borderId="1" xfId="1" applyFont="1" applyFill="1" applyBorder="1"/>
    <xf numFmtId="165" fontId="20" fillId="3" borderId="1" xfId="1" applyNumberFormat="1" applyFont="1" applyFill="1" applyBorder="1"/>
    <xf numFmtId="168" fontId="20" fillId="3" borderId="1" xfId="1" applyNumberFormat="1" applyFont="1" applyFill="1" applyBorder="1"/>
    <xf numFmtId="0" fontId="20" fillId="0" borderId="1" xfId="0" applyFont="1" applyBorder="1" applyAlignment="1">
      <alignment horizontal="center" vertical="center" wrapText="1"/>
    </xf>
    <xf numFmtId="0" fontId="20" fillId="0" borderId="0" xfId="0" applyFont="1"/>
    <xf numFmtId="43" fontId="20" fillId="0" borderId="1" xfId="0" applyNumberFormat="1" applyFont="1" applyBorder="1"/>
    <xf numFmtId="43" fontId="25" fillId="13" borderId="4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43" fontId="20" fillId="0" borderId="1" xfId="1" applyFont="1" applyBorder="1" applyAlignment="1"/>
    <xf numFmtId="43" fontId="20" fillId="3" borderId="1" xfId="1" applyFont="1" applyFill="1" applyBorder="1" applyAlignment="1">
      <alignment wrapText="1"/>
    </xf>
    <xf numFmtId="43" fontId="26" fillId="11" borderId="1" xfId="1" applyFont="1" applyFill="1" applyBorder="1" applyAlignment="1">
      <alignment horizontal="center" vertical="center"/>
    </xf>
    <xf numFmtId="0" fontId="20" fillId="0" borderId="1" xfId="0" applyFont="1" applyBorder="1"/>
    <xf numFmtId="43" fontId="20" fillId="3" borderId="1" xfId="1" applyFont="1" applyFill="1" applyBorder="1" applyAlignment="1"/>
    <xf numFmtId="43" fontId="27" fillId="3" borderId="1" xfId="1" applyFont="1" applyFill="1" applyBorder="1" applyAlignment="1">
      <alignment wrapText="1"/>
    </xf>
    <xf numFmtId="43" fontId="20" fillId="0" borderId="1" xfId="1" applyFont="1" applyFill="1" applyBorder="1"/>
    <xf numFmtId="43" fontId="27" fillId="3" borderId="2" xfId="1" applyFont="1" applyFill="1" applyBorder="1" applyAlignment="1">
      <alignment wrapText="1"/>
    </xf>
    <xf numFmtId="43" fontId="27" fillId="3" borderId="4" xfId="1" applyFont="1" applyFill="1" applyBorder="1" applyAlignment="1">
      <alignment wrapText="1"/>
    </xf>
    <xf numFmtId="43" fontId="28" fillId="3" borderId="1" xfId="1" applyFont="1" applyFill="1" applyBorder="1" applyAlignment="1">
      <alignment wrapText="1"/>
    </xf>
    <xf numFmtId="0" fontId="20" fillId="3" borderId="0" xfId="0" applyFont="1" applyFill="1"/>
    <xf numFmtId="43" fontId="20" fillId="0" borderId="0" xfId="1" applyFont="1"/>
    <xf numFmtId="1" fontId="26" fillId="2" borderId="1" xfId="2" applyNumberFormat="1" applyFont="1" applyFill="1" applyBorder="1" applyAlignment="1">
      <alignment horizontal="center" vertical="center" wrapText="1"/>
    </xf>
    <xf numFmtId="2" fontId="26" fillId="2" borderId="1" xfId="2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top" wrapText="1"/>
    </xf>
    <xf numFmtId="0" fontId="27" fillId="4" borderId="4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left" vertical="top" wrapText="1"/>
    </xf>
    <xf numFmtId="0" fontId="27" fillId="6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left" vertical="top" wrapText="1"/>
    </xf>
    <xf numFmtId="0" fontId="27" fillId="8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center" vertical="center" wrapText="1"/>
    </xf>
    <xf numFmtId="0" fontId="26" fillId="5" borderId="1" xfId="0" applyNumberFormat="1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left" vertical="top" wrapText="1"/>
    </xf>
    <xf numFmtId="0" fontId="20" fillId="10" borderId="1" xfId="0" applyFont="1" applyFill="1" applyBorder="1" applyAlignment="1">
      <alignment horizontal="center" vertical="center" wrapText="1"/>
    </xf>
    <xf numFmtId="0" fontId="26" fillId="1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wrapText="1"/>
    </xf>
    <xf numFmtId="43" fontId="10" fillId="0" borderId="5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left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43" fontId="6" fillId="16" borderId="1" xfId="1" applyFont="1" applyFill="1" applyBorder="1" applyAlignment="1">
      <alignment horizontal="center" vertical="center" wrapText="1"/>
    </xf>
    <xf numFmtId="43" fontId="10" fillId="16" borderId="1" xfId="1" applyFont="1" applyFill="1" applyBorder="1" applyAlignment="1">
      <alignment horizontal="center" vertical="center" wrapText="1"/>
    </xf>
    <xf numFmtId="43" fontId="6" fillId="16" borderId="1" xfId="0" applyNumberFormat="1" applyFont="1" applyFill="1" applyBorder="1" applyAlignment="1">
      <alignment horizontal="center" vertical="center" wrapText="1"/>
    </xf>
    <xf numFmtId="168" fontId="6" fillId="16" borderId="1" xfId="1" applyNumberFormat="1" applyFont="1" applyFill="1" applyBorder="1" applyAlignment="1">
      <alignment horizontal="center" vertical="center"/>
    </xf>
    <xf numFmtId="165" fontId="6" fillId="16" borderId="1" xfId="1" applyNumberFormat="1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165" fontId="6" fillId="16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abSelected="1" topLeftCell="A49" workbookViewId="0">
      <selection activeCell="J60" sqref="J60"/>
    </sheetView>
  </sheetViews>
  <sheetFormatPr defaultRowHeight="9"/>
  <cols>
    <col min="1" max="1" width="2.85546875" style="12" customWidth="1"/>
    <col min="2" max="3" width="8.28515625" style="27" customWidth="1"/>
    <col min="4" max="4" width="10.7109375" style="27" customWidth="1"/>
    <col min="5" max="5" width="10" style="27" customWidth="1"/>
    <col min="6" max="6" width="7.42578125" style="27" customWidth="1"/>
    <col min="7" max="7" width="7.5703125" style="49" customWidth="1"/>
    <col min="8" max="8" width="7.28515625" style="27" customWidth="1"/>
    <col min="9" max="9" width="6" style="27" customWidth="1"/>
    <col min="10" max="10" width="8.28515625" style="52" customWidth="1"/>
    <col min="11" max="11" width="9.85546875" style="52" customWidth="1"/>
    <col min="12" max="12" width="9.28515625" style="52" customWidth="1"/>
    <col min="13" max="13" width="8.28515625" style="52" customWidth="1"/>
    <col min="14" max="14" width="7.42578125" style="27" customWidth="1"/>
    <col min="15" max="15" width="8.5703125" style="27" customWidth="1"/>
    <col min="16" max="16" width="8.140625" style="51" customWidth="1"/>
    <col min="17" max="17" width="8" style="27" customWidth="1"/>
    <col min="18" max="18" width="14.5703125" style="12" customWidth="1"/>
    <col min="19" max="19" width="13.28515625" style="12" customWidth="1"/>
    <col min="20" max="16384" width="9.140625" style="12"/>
  </cols>
  <sheetData>
    <row r="1" spans="1:19" ht="252">
      <c r="A1" s="1" t="s">
        <v>0</v>
      </c>
      <c r="B1" s="2" t="s">
        <v>87</v>
      </c>
      <c r="C1" s="2" t="s">
        <v>1</v>
      </c>
      <c r="D1" s="55" t="s">
        <v>243</v>
      </c>
      <c r="E1" s="55" t="s">
        <v>244</v>
      </c>
      <c r="F1" s="54" t="s">
        <v>281</v>
      </c>
      <c r="G1" s="54" t="s">
        <v>245</v>
      </c>
      <c r="H1" s="54" t="s">
        <v>37</v>
      </c>
      <c r="I1" s="54" t="s">
        <v>38</v>
      </c>
      <c r="J1" s="16" t="s">
        <v>92</v>
      </c>
      <c r="K1" s="16" t="s">
        <v>240</v>
      </c>
      <c r="L1" s="16" t="s">
        <v>241</v>
      </c>
      <c r="M1" s="16" t="s">
        <v>242</v>
      </c>
      <c r="N1" s="4" t="s">
        <v>39</v>
      </c>
      <c r="O1" s="5" t="s">
        <v>86</v>
      </c>
      <c r="P1" s="6" t="s">
        <v>85</v>
      </c>
      <c r="Q1" s="206" t="s">
        <v>246</v>
      </c>
      <c r="R1" s="3" t="s">
        <v>2</v>
      </c>
      <c r="S1" s="5" t="s">
        <v>93</v>
      </c>
    </row>
    <row r="2" spans="1:19" ht="112.5" customHeight="1">
      <c r="A2" s="185">
        <v>1</v>
      </c>
      <c r="B2" s="17" t="s">
        <v>3</v>
      </c>
      <c r="C2" s="17" t="s">
        <v>3</v>
      </c>
      <c r="D2" s="53">
        <v>768</v>
      </c>
      <c r="E2" s="41">
        <v>12852</v>
      </c>
      <c r="F2" s="31">
        <v>9745.2999999999993</v>
      </c>
      <c r="G2" s="32">
        <f>(J2+K2)/2</f>
        <v>73453</v>
      </c>
      <c r="H2" s="33">
        <f>D2/F2</f>
        <v>7.8807219890613942E-2</v>
      </c>
      <c r="I2" s="33">
        <f>E2/G2</f>
        <v>0.17496902781370399</v>
      </c>
      <c r="J2" s="34">
        <v>76252</v>
      </c>
      <c r="K2" s="34">
        <v>70654</v>
      </c>
      <c r="L2" s="34">
        <v>40399</v>
      </c>
      <c r="M2" s="34">
        <v>12656</v>
      </c>
      <c r="N2" s="35">
        <f>G2*12</f>
        <v>881436</v>
      </c>
      <c r="O2" s="36">
        <f>G2*(12-I2)</f>
        <v>868584</v>
      </c>
      <c r="P2" s="37">
        <v>5.8500000000000003E-2</v>
      </c>
      <c r="Q2" s="211">
        <v>9.0899999999999995E-2</v>
      </c>
      <c r="R2" s="5" t="s">
        <v>248</v>
      </c>
      <c r="S2" s="5" t="s">
        <v>247</v>
      </c>
    </row>
    <row r="3" spans="1:19" ht="109.5" customHeight="1">
      <c r="A3" s="185"/>
      <c r="B3" s="18" t="s">
        <v>4</v>
      </c>
      <c r="C3" s="18" t="s">
        <v>5</v>
      </c>
      <c r="D3" s="53">
        <v>515095</v>
      </c>
      <c r="E3" s="41">
        <v>970805</v>
      </c>
      <c r="F3" s="31">
        <v>166760</v>
      </c>
      <c r="G3" s="32">
        <f t="shared" ref="G3:G42" si="0">(J3+K3+L3)/3</f>
        <v>135630.33333333334</v>
      </c>
      <c r="H3" s="33">
        <f t="shared" ref="H3:H42" si="1">D3/F3</f>
        <v>3.0888402494603024</v>
      </c>
      <c r="I3" s="33">
        <f t="shared" ref="I3:I42" si="2">E3/G3</f>
        <v>7.1577277452683887</v>
      </c>
      <c r="J3" s="34">
        <v>134077</v>
      </c>
      <c r="K3" s="34">
        <v>133218</v>
      </c>
      <c r="L3" s="34">
        <v>139596</v>
      </c>
      <c r="M3" s="34">
        <v>125339</v>
      </c>
      <c r="N3" s="35">
        <f t="shared" ref="N3:N42" si="3">G3*12</f>
        <v>1627564</v>
      </c>
      <c r="O3" s="36">
        <f>G3*(12-I3)</f>
        <v>656759.00000000012</v>
      </c>
      <c r="P3" s="39">
        <v>6.4500000000000002E-2</v>
      </c>
      <c r="Q3" s="207"/>
      <c r="R3" s="5" t="s">
        <v>88</v>
      </c>
      <c r="S3" s="5" t="s">
        <v>249</v>
      </c>
    </row>
    <row r="4" spans="1:19" ht="144" customHeight="1">
      <c r="A4" s="8">
        <v>2</v>
      </c>
      <c r="B4" s="18" t="s">
        <v>6</v>
      </c>
      <c r="C4" s="18" t="s">
        <v>250</v>
      </c>
      <c r="D4" s="53">
        <f>322+17799</f>
        <v>18121</v>
      </c>
      <c r="E4" s="41">
        <v>160907</v>
      </c>
      <c r="F4" s="31">
        <v>50318.33</v>
      </c>
      <c r="G4" s="32">
        <f>(J4+K4)/2</f>
        <v>110907</v>
      </c>
      <c r="H4" s="33">
        <f t="shared" si="1"/>
        <v>0.36012721407884563</v>
      </c>
      <c r="I4" s="33">
        <f t="shared" si="2"/>
        <v>1.4508281713507714</v>
      </c>
      <c r="J4" s="30">
        <f>2143+6105+111108</f>
        <v>119356</v>
      </c>
      <c r="K4" s="30">
        <v>102458</v>
      </c>
      <c r="L4" s="30">
        <v>29314</v>
      </c>
      <c r="M4" s="30">
        <v>14789</v>
      </c>
      <c r="N4" s="35">
        <f t="shared" si="3"/>
        <v>1330884</v>
      </c>
      <c r="O4" s="36">
        <f>G4*(12-I4)</f>
        <v>1169977</v>
      </c>
      <c r="P4" s="39">
        <v>0.21840000000000001</v>
      </c>
      <c r="Q4" s="207">
        <v>0.21</v>
      </c>
      <c r="R4" s="5" t="s">
        <v>252</v>
      </c>
      <c r="S4" s="5" t="s">
        <v>251</v>
      </c>
    </row>
    <row r="5" spans="1:19" ht="98.25" customHeight="1">
      <c r="A5" s="8">
        <v>3</v>
      </c>
      <c r="B5" s="18" t="s">
        <v>7</v>
      </c>
      <c r="C5" s="18" t="s">
        <v>7</v>
      </c>
      <c r="D5" s="53">
        <v>628455</v>
      </c>
      <c r="E5" s="41">
        <v>1304050</v>
      </c>
      <c r="F5" s="31">
        <v>284966</v>
      </c>
      <c r="G5" s="32">
        <f t="shared" si="0"/>
        <v>226661</v>
      </c>
      <c r="H5" s="33">
        <f t="shared" si="1"/>
        <v>2.2053683597341438</v>
      </c>
      <c r="I5" s="33">
        <f t="shared" si="2"/>
        <v>5.7533055973458156</v>
      </c>
      <c r="J5" s="34">
        <v>231431</v>
      </c>
      <c r="K5" s="34">
        <v>237975</v>
      </c>
      <c r="L5" s="34">
        <v>210577</v>
      </c>
      <c r="M5" s="34">
        <v>165535</v>
      </c>
      <c r="N5" s="35">
        <f t="shared" si="3"/>
        <v>2719932</v>
      </c>
      <c r="O5" s="36">
        <f>G5*(12-I5)</f>
        <v>1415882</v>
      </c>
      <c r="P5" s="38">
        <v>4.1000000000000002E-2</v>
      </c>
      <c r="Q5" s="207"/>
      <c r="R5" s="5" t="s">
        <v>253</v>
      </c>
      <c r="S5" s="5" t="s">
        <v>249</v>
      </c>
    </row>
    <row r="6" spans="1:19" ht="152.25" customHeight="1">
      <c r="A6" s="8">
        <v>4</v>
      </c>
      <c r="B6" s="18" t="s">
        <v>8</v>
      </c>
      <c r="C6" s="18" t="s">
        <v>9</v>
      </c>
      <c r="D6" s="53">
        <v>0</v>
      </c>
      <c r="E6" s="41">
        <v>6776</v>
      </c>
      <c r="F6" s="31">
        <v>3287.3</v>
      </c>
      <c r="G6" s="32">
        <f t="shared" si="0"/>
        <v>54321.333333333336</v>
      </c>
      <c r="H6" s="33">
        <f t="shared" si="1"/>
        <v>0</v>
      </c>
      <c r="I6" s="33">
        <f t="shared" si="2"/>
        <v>0.12473920620505141</v>
      </c>
      <c r="J6" s="34">
        <v>71155</v>
      </c>
      <c r="K6" s="34">
        <v>64086</v>
      </c>
      <c r="L6" s="34">
        <v>27723</v>
      </c>
      <c r="M6" s="34">
        <v>5549</v>
      </c>
      <c r="N6" s="35">
        <f t="shared" si="3"/>
        <v>651856</v>
      </c>
      <c r="O6" s="40">
        <f>G6*(12-I6)</f>
        <v>645080</v>
      </c>
      <c r="P6" s="38">
        <v>4.7500000000000001E-2</v>
      </c>
      <c r="Q6" s="207"/>
      <c r="R6" s="5" t="s">
        <v>254</v>
      </c>
      <c r="S6" s="5" t="s">
        <v>255</v>
      </c>
    </row>
    <row r="7" spans="1:19" ht="64.5" customHeight="1">
      <c r="A7" s="8">
        <v>5</v>
      </c>
      <c r="B7" s="17" t="s">
        <v>10</v>
      </c>
      <c r="C7" s="18" t="s">
        <v>42</v>
      </c>
      <c r="D7" s="53">
        <v>304634</v>
      </c>
      <c r="E7" s="41">
        <v>516988</v>
      </c>
      <c r="F7" s="31">
        <v>60610</v>
      </c>
      <c r="G7" s="32">
        <f t="shared" si="0"/>
        <v>41443</v>
      </c>
      <c r="H7" s="33">
        <f t="shared" si="1"/>
        <v>5.0261343012704174</v>
      </c>
      <c r="I7" s="33">
        <f t="shared" si="2"/>
        <v>12.474676061095963</v>
      </c>
      <c r="J7" s="34">
        <v>37090</v>
      </c>
      <c r="K7" s="34">
        <v>43811</v>
      </c>
      <c r="L7" s="34">
        <v>43428</v>
      </c>
      <c r="M7" s="34">
        <v>29785</v>
      </c>
      <c r="N7" s="35">
        <f t="shared" si="3"/>
        <v>497316</v>
      </c>
      <c r="O7" s="5"/>
      <c r="P7" s="92">
        <v>0.1034559</v>
      </c>
      <c r="Q7" s="207"/>
      <c r="R7" s="5"/>
      <c r="S7" s="5" t="s">
        <v>282</v>
      </c>
    </row>
    <row r="8" spans="1:19" ht="96.75" customHeight="1">
      <c r="A8" s="8">
        <v>6</v>
      </c>
      <c r="B8" s="18" t="s">
        <v>11</v>
      </c>
      <c r="C8" s="18" t="s">
        <v>12</v>
      </c>
      <c r="D8" s="53">
        <v>240</v>
      </c>
      <c r="E8" s="41">
        <v>27649</v>
      </c>
      <c r="F8" s="31">
        <v>7613</v>
      </c>
      <c r="G8" s="32">
        <f t="shared" si="0"/>
        <v>10361</v>
      </c>
      <c r="H8" s="33">
        <f t="shared" si="1"/>
        <v>3.1525022986995929E-2</v>
      </c>
      <c r="I8" s="33">
        <f t="shared" si="2"/>
        <v>2.6685648103464916</v>
      </c>
      <c r="J8" s="34">
        <v>10209</v>
      </c>
      <c r="K8" s="34">
        <v>10994</v>
      </c>
      <c r="L8" s="34">
        <v>9880</v>
      </c>
      <c r="M8" s="34">
        <v>6137</v>
      </c>
      <c r="N8" s="35">
        <f t="shared" si="3"/>
        <v>124332</v>
      </c>
      <c r="O8" s="36">
        <f>G8*(12-I8)</f>
        <v>96683</v>
      </c>
      <c r="P8" s="38">
        <v>0.188</v>
      </c>
      <c r="Q8" s="207"/>
      <c r="R8" s="5" t="s">
        <v>256</v>
      </c>
      <c r="S8" s="5" t="s">
        <v>257</v>
      </c>
    </row>
    <row r="9" spans="1:19" ht="93" customHeight="1">
      <c r="A9" s="8">
        <v>7</v>
      </c>
      <c r="B9" s="18" t="s">
        <v>13</v>
      </c>
      <c r="C9" s="18" t="s">
        <v>14</v>
      </c>
      <c r="D9" s="53">
        <v>1149463</v>
      </c>
      <c r="E9" s="41">
        <v>1682441</v>
      </c>
      <c r="F9" s="31">
        <v>120933.3</v>
      </c>
      <c r="G9" s="32">
        <f t="shared" si="0"/>
        <v>75737.333333333328</v>
      </c>
      <c r="H9" s="33">
        <f t="shared" si="1"/>
        <v>9.5049337113929742</v>
      </c>
      <c r="I9" s="33">
        <f t="shared" si="2"/>
        <v>22.214156822703028</v>
      </c>
      <c r="J9" s="30">
        <v>74139</v>
      </c>
      <c r="K9" s="30">
        <v>76518</v>
      </c>
      <c r="L9" s="30">
        <v>76555</v>
      </c>
      <c r="M9" s="30">
        <v>58396</v>
      </c>
      <c r="N9" s="35">
        <f t="shared" si="3"/>
        <v>908848</v>
      </c>
      <c r="O9" s="5" t="s">
        <v>40</v>
      </c>
      <c r="P9" s="38">
        <v>6.6000000000000003E-2</v>
      </c>
      <c r="Q9" s="207"/>
      <c r="R9" s="5" t="s">
        <v>40</v>
      </c>
      <c r="S9" s="5" t="s">
        <v>40</v>
      </c>
    </row>
    <row r="10" spans="1:19" ht="96" customHeight="1">
      <c r="A10" s="8">
        <v>8</v>
      </c>
      <c r="B10" s="18" t="s">
        <v>15</v>
      </c>
      <c r="C10" s="18" t="s">
        <v>258</v>
      </c>
      <c r="D10" s="53">
        <f>3670</f>
        <v>3670</v>
      </c>
      <c r="E10" s="41">
        <v>124143</v>
      </c>
      <c r="F10" s="31">
        <v>61507.33</v>
      </c>
      <c r="G10" s="32">
        <f t="shared" si="0"/>
        <v>82070.333333333328</v>
      </c>
      <c r="H10" s="33">
        <f t="shared" si="1"/>
        <v>5.9667685136064269E-2</v>
      </c>
      <c r="I10" s="33">
        <f t="shared" si="2"/>
        <v>1.5126415960294219</v>
      </c>
      <c r="J10" s="34">
        <v>81999</v>
      </c>
      <c r="K10" s="34">
        <v>83146</v>
      </c>
      <c r="L10" s="34">
        <v>81066</v>
      </c>
      <c r="M10" s="34">
        <v>62145</v>
      </c>
      <c r="N10" s="35">
        <f t="shared" si="3"/>
        <v>984844</v>
      </c>
      <c r="O10" s="40">
        <f>G10*(12-I10)</f>
        <v>860701</v>
      </c>
      <c r="P10" s="38">
        <v>0.155</v>
      </c>
      <c r="Q10" s="207">
        <v>0.16</v>
      </c>
      <c r="R10" s="5" t="s">
        <v>259</v>
      </c>
      <c r="S10" s="5" t="s">
        <v>260</v>
      </c>
    </row>
    <row r="11" spans="1:19" ht="83.25" customHeight="1">
      <c r="A11" s="8">
        <v>9</v>
      </c>
      <c r="B11" s="18" t="s">
        <v>16</v>
      </c>
      <c r="C11" s="18" t="s">
        <v>44</v>
      </c>
      <c r="D11" s="53">
        <v>28646</v>
      </c>
      <c r="E11" s="41">
        <v>121039</v>
      </c>
      <c r="F11" s="31">
        <v>28366.6</v>
      </c>
      <c r="G11" s="32">
        <f t="shared" si="0"/>
        <v>34032</v>
      </c>
      <c r="H11" s="33">
        <f t="shared" si="1"/>
        <v>1.009849611867478</v>
      </c>
      <c r="I11" s="33">
        <f t="shared" si="2"/>
        <v>3.5566231781852373</v>
      </c>
      <c r="J11" s="34">
        <v>37403</v>
      </c>
      <c r="K11" s="34">
        <v>32044</v>
      </c>
      <c r="L11" s="34">
        <v>32649</v>
      </c>
      <c r="M11" s="34">
        <v>25679</v>
      </c>
      <c r="N11" s="35">
        <f t="shared" si="3"/>
        <v>408384</v>
      </c>
      <c r="O11" s="40">
        <f>G11*(12-I11)</f>
        <v>287345</v>
      </c>
      <c r="P11" s="38">
        <v>2.9399999999999999E-2</v>
      </c>
      <c r="Q11" s="207"/>
      <c r="R11" s="5" t="s">
        <v>261</v>
      </c>
      <c r="S11" s="5" t="s">
        <v>262</v>
      </c>
    </row>
    <row r="12" spans="1:19" ht="88.5" customHeight="1">
      <c r="A12" s="8">
        <v>10</v>
      </c>
      <c r="B12" s="18" t="s">
        <v>17</v>
      </c>
      <c r="C12" s="18" t="s">
        <v>17</v>
      </c>
      <c r="D12" s="53">
        <v>568570</v>
      </c>
      <c r="E12" s="41">
        <v>845871</v>
      </c>
      <c r="F12" s="31">
        <v>80333</v>
      </c>
      <c r="G12" s="32">
        <f t="shared" si="0"/>
        <v>28765</v>
      </c>
      <c r="H12" s="33">
        <f t="shared" si="1"/>
        <v>7.077664222673123</v>
      </c>
      <c r="I12" s="33">
        <f t="shared" si="2"/>
        <v>29.406257604727969</v>
      </c>
      <c r="J12" s="34">
        <v>28311</v>
      </c>
      <c r="K12" s="34">
        <v>29744</v>
      </c>
      <c r="L12" s="34">
        <v>28240</v>
      </c>
      <c r="M12" s="34">
        <v>23833</v>
      </c>
      <c r="N12" s="35">
        <f t="shared" si="3"/>
        <v>345180</v>
      </c>
      <c r="O12" s="40"/>
      <c r="P12" s="39">
        <v>6.1499999999999999E-2</v>
      </c>
      <c r="Q12" s="207"/>
      <c r="R12" s="5" t="s">
        <v>40</v>
      </c>
      <c r="S12" s="5" t="s">
        <v>40</v>
      </c>
    </row>
    <row r="13" spans="1:19" ht="87" customHeight="1">
      <c r="A13" s="8">
        <v>11</v>
      </c>
      <c r="B13" s="18" t="s">
        <v>18</v>
      </c>
      <c r="C13" s="18" t="s">
        <v>19</v>
      </c>
      <c r="D13" s="53">
        <v>286718</v>
      </c>
      <c r="E13" s="41">
        <v>759525</v>
      </c>
      <c r="F13" s="31">
        <v>164733.29999999999</v>
      </c>
      <c r="G13" s="32">
        <f t="shared" si="0"/>
        <v>120309.66666666667</v>
      </c>
      <c r="H13" s="33">
        <f t="shared" si="1"/>
        <v>1.7404981263654649</v>
      </c>
      <c r="I13" s="33">
        <f t="shared" si="2"/>
        <v>6.3130837366905954</v>
      </c>
      <c r="J13" s="34">
        <v>114148</v>
      </c>
      <c r="K13" s="34">
        <v>124387</v>
      </c>
      <c r="L13" s="34">
        <v>122394</v>
      </c>
      <c r="M13" s="34">
        <v>92723</v>
      </c>
      <c r="N13" s="35">
        <f t="shared" si="3"/>
        <v>1443716</v>
      </c>
      <c r="O13" s="40">
        <f t="shared" ref="O12:O13" si="4">G13*(12-I13)</f>
        <v>684191</v>
      </c>
      <c r="P13" s="39">
        <v>0.1205</v>
      </c>
      <c r="Q13" s="207"/>
      <c r="R13" s="5"/>
      <c r="S13" s="5" t="s">
        <v>249</v>
      </c>
    </row>
    <row r="14" spans="1:19" ht="92.25" customHeight="1">
      <c r="A14" s="191">
        <v>12</v>
      </c>
      <c r="B14" s="18" t="s">
        <v>20</v>
      </c>
      <c r="C14" s="18" t="s">
        <v>45</v>
      </c>
      <c r="D14" s="53">
        <v>602</v>
      </c>
      <c r="E14" s="41">
        <v>156923</v>
      </c>
      <c r="F14" s="31">
        <v>126158.3</v>
      </c>
      <c r="G14" s="32">
        <f t="shared" si="0"/>
        <v>142295</v>
      </c>
      <c r="H14" s="33">
        <f t="shared" si="1"/>
        <v>4.7717827523040494E-3</v>
      </c>
      <c r="I14" s="33">
        <f t="shared" si="2"/>
        <v>1.1028005200463824</v>
      </c>
      <c r="J14" s="34">
        <v>128733</v>
      </c>
      <c r="K14" s="34">
        <v>149378</v>
      </c>
      <c r="L14" s="34">
        <v>148774</v>
      </c>
      <c r="M14" s="34">
        <v>107158</v>
      </c>
      <c r="N14" s="35">
        <f t="shared" si="3"/>
        <v>1707540</v>
      </c>
      <c r="O14" s="5"/>
      <c r="P14" s="212">
        <v>0.09</v>
      </c>
      <c r="Q14" s="207"/>
      <c r="R14" s="5" t="s">
        <v>263</v>
      </c>
      <c r="S14" s="7"/>
    </row>
    <row r="15" spans="1:19" ht="138" customHeight="1">
      <c r="A15" s="192"/>
      <c r="B15" s="18" t="s">
        <v>46</v>
      </c>
      <c r="C15" s="18" t="s">
        <v>46</v>
      </c>
      <c r="D15" s="53">
        <v>1334887</v>
      </c>
      <c r="E15" s="41">
        <v>1735389</v>
      </c>
      <c r="F15" s="31">
        <v>61441.3</v>
      </c>
      <c r="G15" s="32">
        <f t="shared" si="0"/>
        <v>43258</v>
      </c>
      <c r="H15" s="33">
        <f t="shared" si="1"/>
        <v>21.726216730440274</v>
      </c>
      <c r="I15" s="33">
        <f t="shared" si="2"/>
        <v>40.117180637107587</v>
      </c>
      <c r="J15" s="34">
        <v>43957</v>
      </c>
      <c r="K15" s="34">
        <v>53947</v>
      </c>
      <c r="L15" s="34">
        <v>31870</v>
      </c>
      <c r="M15" s="34">
        <v>26165</v>
      </c>
      <c r="N15" s="35">
        <f t="shared" si="3"/>
        <v>519096</v>
      </c>
      <c r="O15" s="5"/>
      <c r="P15" s="212">
        <v>0.105</v>
      </c>
      <c r="Q15" s="207"/>
      <c r="R15" s="5"/>
      <c r="S15" s="5" t="s">
        <v>40</v>
      </c>
    </row>
    <row r="16" spans="1:19" ht="112.5" customHeight="1">
      <c r="A16" s="193"/>
      <c r="B16" s="18" t="s">
        <v>47</v>
      </c>
      <c r="C16" s="18" t="s">
        <v>48</v>
      </c>
      <c r="D16" s="53">
        <v>320170</v>
      </c>
      <c r="E16" s="41">
        <v>408402</v>
      </c>
      <c r="F16" s="31">
        <v>28940</v>
      </c>
      <c r="G16" s="32">
        <f t="shared" si="0"/>
        <v>14175.666666666666</v>
      </c>
      <c r="H16" s="33">
        <f t="shared" si="1"/>
        <v>11.063234277816171</v>
      </c>
      <c r="I16" s="33">
        <f t="shared" si="2"/>
        <v>28.810073600300985</v>
      </c>
      <c r="J16" s="34">
        <v>13690</v>
      </c>
      <c r="K16" s="34">
        <v>14570</v>
      </c>
      <c r="L16" s="34">
        <v>14267</v>
      </c>
      <c r="M16" s="34">
        <v>15584</v>
      </c>
      <c r="N16" s="35">
        <f t="shared" si="3"/>
        <v>170108</v>
      </c>
      <c r="O16" s="5"/>
      <c r="P16" s="43">
        <v>0.23400000000000001</v>
      </c>
      <c r="Q16" s="207"/>
      <c r="R16" s="44" t="s">
        <v>95</v>
      </c>
      <c r="S16" s="5" t="s">
        <v>40</v>
      </c>
    </row>
    <row r="17" spans="1:19" ht="87" customHeight="1">
      <c r="A17" s="191">
        <v>13</v>
      </c>
      <c r="B17" s="15" t="s">
        <v>49</v>
      </c>
      <c r="C17" s="18" t="s">
        <v>50</v>
      </c>
      <c r="D17" s="53">
        <v>604129</v>
      </c>
      <c r="E17" s="41">
        <v>743338</v>
      </c>
      <c r="F17" s="31">
        <v>30950</v>
      </c>
      <c r="G17" s="32">
        <f t="shared" si="0"/>
        <v>26947.666666666668</v>
      </c>
      <c r="H17" s="33">
        <f t="shared" si="1"/>
        <v>19.519515347334412</v>
      </c>
      <c r="I17" s="33">
        <f t="shared" si="2"/>
        <v>27.584503296512992</v>
      </c>
      <c r="J17" s="34">
        <v>21402</v>
      </c>
      <c r="K17" s="34">
        <v>23577</v>
      </c>
      <c r="L17" s="34">
        <v>35864</v>
      </c>
      <c r="M17" s="34">
        <v>30906</v>
      </c>
      <c r="N17" s="35">
        <f t="shared" si="3"/>
        <v>323372</v>
      </c>
      <c r="O17" s="5"/>
      <c r="P17" s="212">
        <v>0.316</v>
      </c>
      <c r="Q17" s="207"/>
      <c r="R17" s="44" t="s">
        <v>95</v>
      </c>
      <c r="S17" s="5" t="s">
        <v>40</v>
      </c>
    </row>
    <row r="18" spans="1:19" ht="80.25" customHeight="1">
      <c r="A18" s="193"/>
      <c r="B18" s="15" t="s">
        <v>51</v>
      </c>
      <c r="C18" s="18" t="s">
        <v>52</v>
      </c>
      <c r="D18" s="53">
        <v>569395</v>
      </c>
      <c r="E18" s="41">
        <v>851106</v>
      </c>
      <c r="F18" s="31">
        <v>60540</v>
      </c>
      <c r="G18" s="32">
        <f t="shared" si="0"/>
        <v>49082</v>
      </c>
      <c r="H18" s="33">
        <f t="shared" si="1"/>
        <v>9.405269243475388</v>
      </c>
      <c r="I18" s="33">
        <f t="shared" si="2"/>
        <v>17.34049142251742</v>
      </c>
      <c r="J18" s="34">
        <v>37794</v>
      </c>
      <c r="K18" s="34">
        <v>50309</v>
      </c>
      <c r="L18" s="34">
        <v>59143</v>
      </c>
      <c r="M18" s="34">
        <v>56815</v>
      </c>
      <c r="N18" s="35">
        <f t="shared" si="3"/>
        <v>588984</v>
      </c>
      <c r="O18" s="5"/>
      <c r="P18" s="212">
        <v>0.38</v>
      </c>
      <c r="Q18" s="207"/>
      <c r="R18" s="44" t="s">
        <v>95</v>
      </c>
      <c r="S18" s="5" t="s">
        <v>40</v>
      </c>
    </row>
    <row r="19" spans="1:19" ht="99" customHeight="1">
      <c r="A19" s="8">
        <v>14</v>
      </c>
      <c r="B19" s="15" t="s">
        <v>53</v>
      </c>
      <c r="C19" s="18" t="s">
        <v>54</v>
      </c>
      <c r="D19" s="53">
        <v>1612106</v>
      </c>
      <c r="E19" s="41">
        <v>1812679</v>
      </c>
      <c r="F19" s="31">
        <v>77028</v>
      </c>
      <c r="G19" s="32">
        <f t="shared" si="0"/>
        <v>89532.333333333328</v>
      </c>
      <c r="H19" s="33">
        <f t="shared" si="1"/>
        <v>20.9288310744145</v>
      </c>
      <c r="I19" s="33">
        <f t="shared" si="2"/>
        <v>20.246082420875886</v>
      </c>
      <c r="J19" s="34">
        <v>102410</v>
      </c>
      <c r="K19" s="34">
        <v>128627</v>
      </c>
      <c r="L19" s="34">
        <v>37560</v>
      </c>
      <c r="M19" s="34">
        <v>1310</v>
      </c>
      <c r="N19" s="35">
        <f t="shared" si="3"/>
        <v>1074388</v>
      </c>
      <c r="O19" s="5"/>
      <c r="P19" s="39">
        <v>6.7500000000000004E-2</v>
      </c>
      <c r="Q19" s="207"/>
      <c r="R19" s="5" t="s">
        <v>89</v>
      </c>
      <c r="S19" s="5" t="s">
        <v>40</v>
      </c>
    </row>
    <row r="20" spans="1:19" ht="102.75" customHeight="1">
      <c r="A20" s="8">
        <v>15</v>
      </c>
      <c r="B20" s="15" t="s">
        <v>55</v>
      </c>
      <c r="C20" s="18" t="s">
        <v>56</v>
      </c>
      <c r="D20" s="53">
        <v>1231523</v>
      </c>
      <c r="E20" s="41">
        <v>1501133</v>
      </c>
      <c r="F20" s="31">
        <v>95240</v>
      </c>
      <c r="G20" s="32">
        <f t="shared" si="0"/>
        <v>39821.333333333336</v>
      </c>
      <c r="H20" s="33">
        <f t="shared" si="1"/>
        <v>12.930732885342293</v>
      </c>
      <c r="I20" s="33">
        <f t="shared" si="2"/>
        <v>37.696703609455568</v>
      </c>
      <c r="J20" s="34">
        <v>36603</v>
      </c>
      <c r="K20" s="34">
        <v>40167</v>
      </c>
      <c r="L20" s="34">
        <v>42694</v>
      </c>
      <c r="M20" s="34">
        <v>36242</v>
      </c>
      <c r="N20" s="35">
        <f t="shared" si="3"/>
        <v>477856</v>
      </c>
      <c r="O20" s="5"/>
      <c r="P20" s="212">
        <v>0.06</v>
      </c>
      <c r="Q20" s="207"/>
      <c r="R20" s="5" t="s">
        <v>264</v>
      </c>
      <c r="S20" s="5" t="s">
        <v>40</v>
      </c>
    </row>
    <row r="21" spans="1:19" ht="111.75" customHeight="1">
      <c r="A21" s="8">
        <v>16</v>
      </c>
      <c r="B21" s="15" t="s">
        <v>57</v>
      </c>
      <c r="C21" s="15" t="s">
        <v>58</v>
      </c>
      <c r="D21" s="53">
        <f>340433+1186579</f>
        <v>1527012</v>
      </c>
      <c r="E21" s="41">
        <v>1800628</v>
      </c>
      <c r="F21" s="31">
        <v>91692</v>
      </c>
      <c r="G21" s="32">
        <f t="shared" si="0"/>
        <v>39037.666666666664</v>
      </c>
      <c r="H21" s="33">
        <f t="shared" si="1"/>
        <v>16.653710247349824</v>
      </c>
      <c r="I21" s="33">
        <f t="shared" si="2"/>
        <v>46.125400254455101</v>
      </c>
      <c r="J21" s="34">
        <v>35141</v>
      </c>
      <c r="K21" s="34">
        <v>40081</v>
      </c>
      <c r="L21" s="34">
        <v>41891</v>
      </c>
      <c r="M21" s="34">
        <v>37562</v>
      </c>
      <c r="N21" s="35">
        <f t="shared" si="3"/>
        <v>468452</v>
      </c>
      <c r="O21" s="5"/>
      <c r="P21" s="43">
        <v>0.14899999999999999</v>
      </c>
      <c r="Q21" s="207"/>
      <c r="R21" s="5" t="s">
        <v>264</v>
      </c>
      <c r="S21" s="5" t="s">
        <v>40</v>
      </c>
    </row>
    <row r="22" spans="1:19" ht="57.75" customHeight="1">
      <c r="A22" s="191">
        <v>17</v>
      </c>
      <c r="B22" s="15" t="s">
        <v>59</v>
      </c>
      <c r="C22" s="18" t="s">
        <v>60</v>
      </c>
      <c r="D22" s="53">
        <v>15515561</v>
      </c>
      <c r="E22" s="41">
        <v>20329792</v>
      </c>
      <c r="F22" s="42">
        <v>134333</v>
      </c>
      <c r="G22" s="32">
        <f t="shared" si="0"/>
        <v>148353</v>
      </c>
      <c r="H22" s="33">
        <f t="shared" si="1"/>
        <v>115.50074069662703</v>
      </c>
      <c r="I22" s="33">
        <f t="shared" si="2"/>
        <v>137.03660862941769</v>
      </c>
      <c r="J22" s="34">
        <v>131581</v>
      </c>
      <c r="K22" s="34">
        <v>153370</v>
      </c>
      <c r="L22" s="34">
        <v>160108</v>
      </c>
      <c r="M22" s="34">
        <v>139939</v>
      </c>
      <c r="N22" s="35">
        <f t="shared" si="3"/>
        <v>1780236</v>
      </c>
      <c r="O22" s="5"/>
      <c r="P22" s="212">
        <v>7.2099999999999997E-2</v>
      </c>
      <c r="Q22" s="208"/>
      <c r="R22" s="7" t="s">
        <v>96</v>
      </c>
      <c r="S22" s="5" t="s">
        <v>40</v>
      </c>
    </row>
    <row r="23" spans="1:19" ht="54">
      <c r="A23" s="193"/>
      <c r="B23" s="15" t="s">
        <v>61</v>
      </c>
      <c r="C23" s="18" t="s">
        <v>62</v>
      </c>
      <c r="D23" s="53">
        <v>2092726</v>
      </c>
      <c r="E23" s="41">
        <v>4642341</v>
      </c>
      <c r="F23" s="42">
        <v>44300</v>
      </c>
      <c r="G23" s="32">
        <f t="shared" si="0"/>
        <v>23398.666666666668</v>
      </c>
      <c r="H23" s="33">
        <f t="shared" si="1"/>
        <v>47.239864559819416</v>
      </c>
      <c r="I23" s="33">
        <f t="shared" si="2"/>
        <v>198.4019459798279</v>
      </c>
      <c r="J23" s="34">
        <v>19185</v>
      </c>
      <c r="K23" s="34">
        <v>23726</v>
      </c>
      <c r="L23" s="34">
        <v>27285</v>
      </c>
      <c r="M23" s="34">
        <v>21082</v>
      </c>
      <c r="N23" s="35">
        <f t="shared" si="3"/>
        <v>280784</v>
      </c>
      <c r="O23" s="5"/>
      <c r="P23" s="212">
        <v>0.08</v>
      </c>
      <c r="Q23" s="206"/>
      <c r="R23" s="7" t="s">
        <v>96</v>
      </c>
      <c r="S23" s="5" t="s">
        <v>40</v>
      </c>
    </row>
    <row r="24" spans="1:19" ht="76.5" customHeight="1">
      <c r="A24" s="9">
        <v>18</v>
      </c>
      <c r="B24" s="19" t="s">
        <v>21</v>
      </c>
      <c r="C24" s="19" t="s">
        <v>22</v>
      </c>
      <c r="D24" s="53">
        <v>204018</v>
      </c>
      <c r="E24" s="41">
        <v>823420</v>
      </c>
      <c r="F24" s="42">
        <v>409560</v>
      </c>
      <c r="G24" s="32">
        <f t="shared" si="0"/>
        <v>418273.33333333331</v>
      </c>
      <c r="H24" s="33">
        <f t="shared" si="1"/>
        <v>0.49813946674479931</v>
      </c>
      <c r="I24" s="33">
        <f t="shared" si="2"/>
        <v>1.9686170127986484</v>
      </c>
      <c r="J24" s="29">
        <v>426880</v>
      </c>
      <c r="K24" s="29">
        <v>422016</v>
      </c>
      <c r="L24" s="29">
        <v>405924</v>
      </c>
      <c r="M24" s="29">
        <v>321327</v>
      </c>
      <c r="N24" s="35">
        <f t="shared" si="3"/>
        <v>5019280</v>
      </c>
      <c r="O24" s="40">
        <f>G24*(12-I24)</f>
        <v>4195859.9999999991</v>
      </c>
      <c r="P24" s="43">
        <v>8.4500000000000006E-2</v>
      </c>
      <c r="Q24" s="209"/>
      <c r="R24" s="5" t="s">
        <v>265</v>
      </c>
      <c r="S24" s="5" t="s">
        <v>266</v>
      </c>
    </row>
    <row r="25" spans="1:19" ht="63">
      <c r="A25" s="9">
        <v>19</v>
      </c>
      <c r="B25" s="19" t="s">
        <v>23</v>
      </c>
      <c r="C25" s="19" t="s">
        <v>63</v>
      </c>
      <c r="D25" s="53">
        <v>226030</v>
      </c>
      <c r="E25" s="41">
        <v>610238</v>
      </c>
      <c r="F25" s="42">
        <v>150966</v>
      </c>
      <c r="G25" s="32">
        <f t="shared" si="0"/>
        <v>141995</v>
      </c>
      <c r="H25" s="33">
        <f>D25/G25</f>
        <v>1.5918166132610303</v>
      </c>
      <c r="I25" s="33">
        <f t="shared" si="2"/>
        <v>4.2976020282404308</v>
      </c>
      <c r="J25" s="34">
        <v>142531</v>
      </c>
      <c r="K25" s="34">
        <v>138106</v>
      </c>
      <c r="L25" s="34">
        <v>145348</v>
      </c>
      <c r="M25" s="34">
        <v>116567</v>
      </c>
      <c r="N25" s="35">
        <f t="shared" si="3"/>
        <v>1703940</v>
      </c>
      <c r="O25" s="40">
        <f>G25*(12-I25)</f>
        <v>1093702</v>
      </c>
      <c r="P25" s="45">
        <v>0.1119</v>
      </c>
      <c r="Q25" s="209"/>
      <c r="R25" s="5" t="s">
        <v>268</v>
      </c>
      <c r="S25" s="5" t="s">
        <v>267</v>
      </c>
    </row>
    <row r="26" spans="1:19" ht="68.25" customHeight="1">
      <c r="A26" s="9">
        <v>20</v>
      </c>
      <c r="B26" s="19" t="s">
        <v>24</v>
      </c>
      <c r="C26" s="19" t="s">
        <v>25</v>
      </c>
      <c r="D26" s="53">
        <v>16061</v>
      </c>
      <c r="E26" s="41">
        <v>304248</v>
      </c>
      <c r="F26" s="42">
        <v>129100</v>
      </c>
      <c r="G26" s="32">
        <f t="shared" si="0"/>
        <v>130279.66666666667</v>
      </c>
      <c r="H26" s="33">
        <f t="shared" si="1"/>
        <v>0.12440743609604957</v>
      </c>
      <c r="I26" s="33">
        <f t="shared" si="2"/>
        <v>2.3353452444612741</v>
      </c>
      <c r="J26" s="34">
        <v>128423</v>
      </c>
      <c r="K26" s="34">
        <v>130971</v>
      </c>
      <c r="L26" s="34">
        <v>131445</v>
      </c>
      <c r="M26" s="34">
        <v>104016</v>
      </c>
      <c r="N26" s="35">
        <f t="shared" si="3"/>
        <v>1563356</v>
      </c>
      <c r="O26" s="40">
        <f>G26*(12-I26)</f>
        <v>1259108</v>
      </c>
      <c r="P26" s="46">
        <v>0.109</v>
      </c>
      <c r="Q26" s="214">
        <v>0.104</v>
      </c>
      <c r="R26" s="5" t="s">
        <v>269</v>
      </c>
      <c r="S26" s="5" t="s">
        <v>247</v>
      </c>
    </row>
    <row r="27" spans="1:19" ht="72" customHeight="1">
      <c r="A27" s="10">
        <v>21</v>
      </c>
      <c r="B27" s="20" t="s">
        <v>26</v>
      </c>
      <c r="C27" s="20" t="s">
        <v>27</v>
      </c>
      <c r="D27" s="53">
        <v>1117</v>
      </c>
      <c r="E27" s="41">
        <v>21710</v>
      </c>
      <c r="F27" s="42">
        <v>3183</v>
      </c>
      <c r="G27" s="32">
        <f t="shared" si="0"/>
        <v>5701.666666666667</v>
      </c>
      <c r="H27" s="33">
        <f t="shared" si="1"/>
        <v>0.3509267986176563</v>
      </c>
      <c r="I27" s="33">
        <f t="shared" si="2"/>
        <v>3.8076585793627591</v>
      </c>
      <c r="J27" s="34">
        <v>10015</v>
      </c>
      <c r="K27" s="34">
        <v>7090</v>
      </c>
      <c r="L27" s="34"/>
      <c r="M27" s="34">
        <v>5032</v>
      </c>
      <c r="N27" s="35">
        <f t="shared" si="3"/>
        <v>68420</v>
      </c>
      <c r="O27" s="40">
        <f>G27*(12-I27)</f>
        <v>46710.000000000007</v>
      </c>
      <c r="P27" s="39">
        <v>0.16520000000000001</v>
      </c>
      <c r="Q27" s="209"/>
      <c r="R27" s="5" t="s">
        <v>256</v>
      </c>
      <c r="S27" s="5" t="s">
        <v>270</v>
      </c>
    </row>
    <row r="28" spans="1:19" ht="69" customHeight="1">
      <c r="A28" s="10">
        <v>22</v>
      </c>
      <c r="B28" s="20" t="s">
        <v>28</v>
      </c>
      <c r="C28" s="20" t="s">
        <v>64</v>
      </c>
      <c r="D28" s="53">
        <v>42</v>
      </c>
      <c r="E28" s="41">
        <v>46718</v>
      </c>
      <c r="F28" s="42">
        <v>43696</v>
      </c>
      <c r="G28" s="32">
        <f t="shared" si="0"/>
        <v>107180</v>
      </c>
      <c r="H28" s="33">
        <f t="shared" si="1"/>
        <v>9.6118637861589162E-4</v>
      </c>
      <c r="I28" s="33">
        <f t="shared" si="2"/>
        <v>0.43588356036573989</v>
      </c>
      <c r="J28" s="34">
        <v>103526</v>
      </c>
      <c r="K28" s="34">
        <v>127741</v>
      </c>
      <c r="L28" s="34">
        <v>90273</v>
      </c>
      <c r="M28" s="34">
        <v>46868</v>
      </c>
      <c r="N28" s="35">
        <f t="shared" si="3"/>
        <v>1286160</v>
      </c>
      <c r="O28" s="40">
        <f>G28*(12-I28)</f>
        <v>1239442</v>
      </c>
      <c r="P28" s="43">
        <v>4.4999999999999998E-2</v>
      </c>
      <c r="Q28" s="209"/>
      <c r="R28" s="5" t="s">
        <v>272</v>
      </c>
      <c r="S28" s="5" t="s">
        <v>271</v>
      </c>
    </row>
    <row r="29" spans="1:19" ht="68.25" customHeight="1">
      <c r="A29" s="11">
        <v>23</v>
      </c>
      <c r="B29" s="21" t="s">
        <v>29</v>
      </c>
      <c r="C29" s="21" t="s">
        <v>30</v>
      </c>
      <c r="D29" s="53">
        <v>2101</v>
      </c>
      <c r="E29" s="41">
        <v>2687</v>
      </c>
      <c r="F29" s="47">
        <v>900</v>
      </c>
      <c r="G29" s="32">
        <f t="shared" si="0"/>
        <v>835</v>
      </c>
      <c r="H29" s="33">
        <f t="shared" si="1"/>
        <v>2.3344444444444443</v>
      </c>
      <c r="I29" s="33">
        <f t="shared" si="2"/>
        <v>3.2179640718562874</v>
      </c>
      <c r="J29" s="34">
        <v>1204</v>
      </c>
      <c r="K29" s="34">
        <v>898</v>
      </c>
      <c r="L29" s="34">
        <v>403</v>
      </c>
      <c r="M29" s="34">
        <v>320</v>
      </c>
      <c r="N29" s="35">
        <f t="shared" si="3"/>
        <v>10020</v>
      </c>
      <c r="O29" s="40">
        <f>G29*(12-I29)</f>
        <v>7333.0000000000009</v>
      </c>
      <c r="P29" s="39">
        <v>3.2294999999999998</v>
      </c>
      <c r="Q29" s="209"/>
      <c r="R29" s="5" t="s">
        <v>268</v>
      </c>
      <c r="S29" s="5" t="s">
        <v>273</v>
      </c>
    </row>
    <row r="30" spans="1:19" ht="119.25" customHeight="1">
      <c r="A30" s="186">
        <v>24</v>
      </c>
      <c r="B30" s="21" t="s">
        <v>84</v>
      </c>
      <c r="C30" s="21" t="s">
        <v>66</v>
      </c>
      <c r="D30" s="53">
        <f>1194+150</f>
        <v>1344</v>
      </c>
      <c r="E30" s="41">
        <v>4750</v>
      </c>
      <c r="F30" s="47">
        <v>1252</v>
      </c>
      <c r="G30" s="32">
        <v>1752</v>
      </c>
      <c r="H30" s="33">
        <f t="shared" si="1"/>
        <v>1.0734824281150159</v>
      </c>
      <c r="I30" s="33">
        <f t="shared" si="2"/>
        <v>2.7111872146118721</v>
      </c>
      <c r="J30" s="34">
        <v>1752</v>
      </c>
      <c r="K30" s="34">
        <v>472</v>
      </c>
      <c r="L30" s="34">
        <v>178</v>
      </c>
      <c r="M30" s="34">
        <v>386</v>
      </c>
      <c r="N30" s="35">
        <f t="shared" si="3"/>
        <v>21024</v>
      </c>
      <c r="O30" s="40">
        <f>G30*(12-I30)</f>
        <v>16274</v>
      </c>
      <c r="P30" s="43">
        <v>25.76</v>
      </c>
      <c r="Q30" s="209"/>
      <c r="R30" s="5" t="s">
        <v>274</v>
      </c>
      <c r="S30" s="5" t="s">
        <v>94</v>
      </c>
    </row>
    <row r="31" spans="1:19" ht="91.5" customHeight="1">
      <c r="A31" s="187"/>
      <c r="B31" s="21" t="s">
        <v>65</v>
      </c>
      <c r="C31" s="21" t="s">
        <v>67</v>
      </c>
      <c r="D31" s="53">
        <v>2713</v>
      </c>
      <c r="E31" s="41">
        <v>5045</v>
      </c>
      <c r="F31" s="47">
        <v>1466</v>
      </c>
      <c r="G31" s="32">
        <f>(J31+K31+L31+M31)/4</f>
        <v>1191.75</v>
      </c>
      <c r="H31" s="33">
        <f t="shared" si="1"/>
        <v>1.8506139154160983</v>
      </c>
      <c r="I31" s="33">
        <f t="shared" si="2"/>
        <v>4.233270400671282</v>
      </c>
      <c r="J31" s="34">
        <v>854</v>
      </c>
      <c r="K31" s="34">
        <v>1062</v>
      </c>
      <c r="L31" s="34">
        <v>1341</v>
      </c>
      <c r="M31" s="34">
        <v>1510</v>
      </c>
      <c r="N31" s="35">
        <f t="shared" si="3"/>
        <v>14301</v>
      </c>
      <c r="O31" s="5"/>
      <c r="P31" s="43">
        <v>30.998999999999999</v>
      </c>
      <c r="Q31" s="206"/>
      <c r="R31" s="5"/>
      <c r="S31" s="5" t="s">
        <v>249</v>
      </c>
    </row>
    <row r="32" spans="1:19" ht="54">
      <c r="A32" s="11">
        <v>25</v>
      </c>
      <c r="B32" s="22" t="s">
        <v>31</v>
      </c>
      <c r="C32" s="22" t="s">
        <v>32</v>
      </c>
      <c r="D32" s="53">
        <v>0</v>
      </c>
      <c r="E32" s="41">
        <v>2015</v>
      </c>
      <c r="F32" s="47">
        <v>752</v>
      </c>
      <c r="G32" s="32">
        <f t="shared" si="0"/>
        <v>799</v>
      </c>
      <c r="H32" s="33">
        <f t="shared" si="1"/>
        <v>0</v>
      </c>
      <c r="I32" s="33">
        <f t="shared" si="2"/>
        <v>2.5219023779724656</v>
      </c>
      <c r="J32" s="34">
        <v>888</v>
      </c>
      <c r="K32" s="34">
        <v>844</v>
      </c>
      <c r="L32" s="34">
        <v>665</v>
      </c>
      <c r="M32" s="34">
        <v>505</v>
      </c>
      <c r="N32" s="35">
        <f t="shared" si="3"/>
        <v>9588</v>
      </c>
      <c r="O32" s="40">
        <f>G32*(12-I32)</f>
        <v>7572.9999999999991</v>
      </c>
      <c r="P32" s="48">
        <v>4.8</v>
      </c>
      <c r="Q32" s="209"/>
      <c r="R32" s="56" t="s">
        <v>276</v>
      </c>
      <c r="S32" s="5" t="s">
        <v>275</v>
      </c>
    </row>
    <row r="33" spans="1:19" ht="108">
      <c r="A33" s="11">
        <v>26</v>
      </c>
      <c r="B33" s="21" t="s">
        <v>33</v>
      </c>
      <c r="C33" s="21" t="s">
        <v>34</v>
      </c>
      <c r="D33" s="53">
        <v>1255</v>
      </c>
      <c r="E33" s="41">
        <v>2530</v>
      </c>
      <c r="F33" s="47">
        <v>417</v>
      </c>
      <c r="G33" s="32">
        <f t="shared" si="0"/>
        <v>300.66666666666669</v>
      </c>
      <c r="H33" s="33">
        <f t="shared" si="1"/>
        <v>3.0095923261390887</v>
      </c>
      <c r="I33" s="33">
        <f t="shared" si="2"/>
        <v>8.4146341463414629</v>
      </c>
      <c r="J33" s="34">
        <v>282</v>
      </c>
      <c r="K33" s="34">
        <v>338</v>
      </c>
      <c r="L33" s="34">
        <v>282</v>
      </c>
      <c r="M33" s="34">
        <v>240</v>
      </c>
      <c r="N33" s="35">
        <f t="shared" si="3"/>
        <v>3608</v>
      </c>
      <c r="O33" s="40">
        <f>G33*(12-I33)</f>
        <v>1078.0000000000002</v>
      </c>
      <c r="P33" s="43">
        <v>79.558000000000007</v>
      </c>
      <c r="Q33" s="209"/>
      <c r="R33" s="5"/>
      <c r="S33" s="5" t="s">
        <v>277</v>
      </c>
    </row>
    <row r="34" spans="1:19" ht="174.75" customHeight="1">
      <c r="A34" s="11">
        <v>27</v>
      </c>
      <c r="B34" s="21" t="s">
        <v>35</v>
      </c>
      <c r="C34" s="21" t="s">
        <v>36</v>
      </c>
      <c r="D34" s="53">
        <v>990</v>
      </c>
      <c r="E34" s="41">
        <v>8533</v>
      </c>
      <c r="F34" s="47">
        <v>228</v>
      </c>
      <c r="G34" s="32">
        <f t="shared" si="0"/>
        <v>589.33333333333337</v>
      </c>
      <c r="H34" s="33">
        <f t="shared" si="1"/>
        <v>4.3421052631578947</v>
      </c>
      <c r="I34" s="33">
        <f t="shared" si="2"/>
        <v>14.479072398190045</v>
      </c>
      <c r="J34" s="34">
        <v>482</v>
      </c>
      <c r="K34" s="34">
        <v>611</v>
      </c>
      <c r="L34" s="34">
        <v>675</v>
      </c>
      <c r="M34" s="34">
        <v>617</v>
      </c>
      <c r="N34" s="35">
        <f t="shared" si="3"/>
        <v>7072</v>
      </c>
      <c r="O34" s="40"/>
      <c r="P34" s="45">
        <v>0.36980000000000002</v>
      </c>
      <c r="Q34" s="210"/>
      <c r="R34" s="5" t="s">
        <v>278</v>
      </c>
      <c r="S34" s="5" t="s">
        <v>279</v>
      </c>
    </row>
    <row r="35" spans="1:19" ht="79.5" customHeight="1">
      <c r="A35" s="13">
        <v>28</v>
      </c>
      <c r="B35" s="23" t="s">
        <v>68</v>
      </c>
      <c r="C35" s="24" t="s">
        <v>69</v>
      </c>
      <c r="D35" s="41">
        <v>68164</v>
      </c>
      <c r="E35" s="41">
        <v>310319</v>
      </c>
      <c r="F35" s="47">
        <v>60200</v>
      </c>
      <c r="G35" s="32">
        <f t="shared" si="0"/>
        <v>41551</v>
      </c>
      <c r="H35" s="33">
        <f t="shared" si="1"/>
        <v>1.1322923588039868</v>
      </c>
      <c r="I35" s="33">
        <f t="shared" si="2"/>
        <v>7.4683882457702584</v>
      </c>
      <c r="J35" s="34">
        <v>37213</v>
      </c>
      <c r="K35" s="34">
        <v>44342</v>
      </c>
      <c r="L35" s="34">
        <v>43098</v>
      </c>
      <c r="M35" s="34">
        <v>40972</v>
      </c>
      <c r="N35" s="35">
        <f t="shared" si="3"/>
        <v>498612</v>
      </c>
      <c r="O35" s="40">
        <f>G35*(12-I35)</f>
        <v>188293</v>
      </c>
      <c r="P35" s="48">
        <v>0.57999999999999996</v>
      </c>
      <c r="Q35" s="206"/>
      <c r="R35" s="5"/>
      <c r="S35" s="5" t="s">
        <v>280</v>
      </c>
    </row>
    <row r="36" spans="1:19" ht="79.5" customHeight="1">
      <c r="A36" s="13">
        <v>29</v>
      </c>
      <c r="B36" s="23" t="s">
        <v>70</v>
      </c>
      <c r="C36" s="24" t="s">
        <v>71</v>
      </c>
      <c r="D36" s="41">
        <v>72594</v>
      </c>
      <c r="E36" s="41">
        <v>194503</v>
      </c>
      <c r="F36" s="47">
        <v>27133</v>
      </c>
      <c r="G36" s="32">
        <f t="shared" si="0"/>
        <v>14193.666666666666</v>
      </c>
      <c r="H36" s="33">
        <f t="shared" si="1"/>
        <v>2.6754874138502931</v>
      </c>
      <c r="I36" s="33">
        <f t="shared" si="2"/>
        <v>13.703506258659965</v>
      </c>
      <c r="J36" s="34">
        <v>12128</v>
      </c>
      <c r="K36" s="34">
        <v>16396</v>
      </c>
      <c r="L36" s="34">
        <v>14057</v>
      </c>
      <c r="M36" s="34">
        <v>11808</v>
      </c>
      <c r="N36" s="35">
        <f t="shared" si="3"/>
        <v>170324</v>
      </c>
      <c r="O36" s="5"/>
      <c r="P36" s="48">
        <v>0.39</v>
      </c>
      <c r="Q36" s="206"/>
      <c r="R36" s="5"/>
      <c r="S36" s="5" t="s">
        <v>280</v>
      </c>
    </row>
    <row r="37" spans="1:19" ht="79.5" customHeight="1">
      <c r="A37" s="14">
        <v>30</v>
      </c>
      <c r="B37" s="25" t="s">
        <v>72</v>
      </c>
      <c r="C37" s="26" t="s">
        <v>73</v>
      </c>
      <c r="D37" s="41">
        <v>1708170</v>
      </c>
      <c r="E37" s="41">
        <v>1841431</v>
      </c>
      <c r="F37" s="47">
        <v>28530</v>
      </c>
      <c r="G37" s="32">
        <f>(J37+K37+L37+M37)/4</f>
        <v>16271.5</v>
      </c>
      <c r="H37" s="33">
        <f t="shared" si="1"/>
        <v>59.872765509989485</v>
      </c>
      <c r="I37" s="33">
        <f t="shared" si="2"/>
        <v>113.16909934548136</v>
      </c>
      <c r="J37" s="34">
        <v>16679</v>
      </c>
      <c r="K37" s="34">
        <v>15229</v>
      </c>
      <c r="L37" s="34">
        <v>13615</v>
      </c>
      <c r="M37" s="34">
        <v>19563</v>
      </c>
      <c r="N37" s="35">
        <f t="shared" si="3"/>
        <v>195258</v>
      </c>
      <c r="O37" s="5"/>
      <c r="P37" s="213">
        <v>0.70299999999999996</v>
      </c>
      <c r="Q37" s="206"/>
      <c r="R37" s="5" t="s">
        <v>96</v>
      </c>
      <c r="S37" s="5" t="s">
        <v>40</v>
      </c>
    </row>
    <row r="38" spans="1:19" ht="79.5" customHeight="1">
      <c r="A38" s="14">
        <v>31</v>
      </c>
      <c r="B38" s="25" t="s">
        <v>74</v>
      </c>
      <c r="C38" s="26" t="s">
        <v>75</v>
      </c>
      <c r="D38" s="41">
        <v>744903</v>
      </c>
      <c r="E38" s="41">
        <v>948766</v>
      </c>
      <c r="F38" s="47">
        <v>61204</v>
      </c>
      <c r="G38" s="32">
        <f>(J38+K38+L38+M38)/4</f>
        <v>37902.25</v>
      </c>
      <c r="H38" s="33">
        <f t="shared" si="1"/>
        <v>12.170822168485721</v>
      </c>
      <c r="I38" s="33">
        <f t="shared" si="2"/>
        <v>25.031917630219841</v>
      </c>
      <c r="J38" s="34">
        <v>42380</v>
      </c>
      <c r="K38" s="34">
        <v>29080</v>
      </c>
      <c r="L38" s="34">
        <v>35433</v>
      </c>
      <c r="M38" s="34">
        <v>44716</v>
      </c>
      <c r="N38" s="35">
        <f t="shared" si="3"/>
        <v>454827</v>
      </c>
      <c r="O38" s="5"/>
      <c r="P38" s="45">
        <v>6.9599999999999995E-2</v>
      </c>
      <c r="Q38" s="206"/>
      <c r="R38" s="5" t="s">
        <v>98</v>
      </c>
      <c r="S38" s="5" t="s">
        <v>40</v>
      </c>
    </row>
    <row r="39" spans="1:19" ht="79.5" customHeight="1">
      <c r="A39" s="188">
        <v>32</v>
      </c>
      <c r="B39" s="25" t="s">
        <v>76</v>
      </c>
      <c r="C39" s="26" t="s">
        <v>77</v>
      </c>
      <c r="D39" s="41">
        <v>120111</v>
      </c>
      <c r="E39" s="41">
        <v>235752</v>
      </c>
      <c r="F39" s="47">
        <v>7833</v>
      </c>
      <c r="G39" s="32">
        <f t="shared" si="0"/>
        <v>5194</v>
      </c>
      <c r="H39" s="33">
        <f t="shared" si="1"/>
        <v>15.333971658368441</v>
      </c>
      <c r="I39" s="33">
        <f t="shared" si="2"/>
        <v>45.389295340777821</v>
      </c>
      <c r="J39" s="34">
        <v>3330</v>
      </c>
      <c r="K39" s="34">
        <v>4580</v>
      </c>
      <c r="L39" s="34">
        <v>7672</v>
      </c>
      <c r="M39" s="34">
        <v>5712</v>
      </c>
      <c r="N39" s="35">
        <f t="shared" si="3"/>
        <v>62328</v>
      </c>
      <c r="O39" s="5"/>
      <c r="P39" s="45">
        <f>0.0653*3.0274</f>
        <v>0.19768922</v>
      </c>
      <c r="Q39" s="206"/>
      <c r="R39" s="5" t="s">
        <v>96</v>
      </c>
      <c r="S39" s="5" t="s">
        <v>40</v>
      </c>
    </row>
    <row r="40" spans="1:19" ht="79.5" customHeight="1">
      <c r="A40" s="189"/>
      <c r="B40" s="25" t="s">
        <v>78</v>
      </c>
      <c r="C40" s="26" t="s">
        <v>79</v>
      </c>
      <c r="D40" s="41">
        <v>1035891</v>
      </c>
      <c r="E40" s="41">
        <v>1175322</v>
      </c>
      <c r="F40" s="47">
        <v>27410</v>
      </c>
      <c r="G40" s="32">
        <f t="shared" si="0"/>
        <v>14076.333333333334</v>
      </c>
      <c r="H40" s="33">
        <f t="shared" si="1"/>
        <v>37.792448011674573</v>
      </c>
      <c r="I40" s="33">
        <f t="shared" si="2"/>
        <v>83.496317696369786</v>
      </c>
      <c r="J40" s="34">
        <v>12009</v>
      </c>
      <c r="K40" s="34">
        <v>11266</v>
      </c>
      <c r="L40" s="34">
        <v>18954</v>
      </c>
      <c r="M40" s="34">
        <v>18800</v>
      </c>
      <c r="N40" s="35">
        <f t="shared" si="3"/>
        <v>168916</v>
      </c>
      <c r="O40" s="5"/>
      <c r="P40" s="45">
        <f>0.0911*3.0274</f>
        <v>0.27579614000000002</v>
      </c>
      <c r="Q40" s="206"/>
      <c r="R40" s="5" t="s">
        <v>96</v>
      </c>
      <c r="S40" s="5" t="s">
        <v>40</v>
      </c>
    </row>
    <row r="41" spans="1:19" ht="79.5" customHeight="1">
      <c r="A41" s="188">
        <v>33</v>
      </c>
      <c r="B41" s="25" t="s">
        <v>80</v>
      </c>
      <c r="C41" s="26" t="s">
        <v>81</v>
      </c>
      <c r="D41" s="41">
        <v>393936</v>
      </c>
      <c r="E41" s="41">
        <v>449555</v>
      </c>
      <c r="F41" s="47">
        <v>8180</v>
      </c>
      <c r="G41" s="32">
        <f t="shared" si="0"/>
        <v>2108.3333333333335</v>
      </c>
      <c r="H41" s="33">
        <f t="shared" si="1"/>
        <v>48.158435207823963</v>
      </c>
      <c r="I41" s="33">
        <f t="shared" si="2"/>
        <v>213.22766798418971</v>
      </c>
      <c r="J41" s="34">
        <v>1784</v>
      </c>
      <c r="K41" s="34">
        <v>1724</v>
      </c>
      <c r="L41" s="34">
        <v>2817</v>
      </c>
      <c r="M41" s="34">
        <v>2217</v>
      </c>
      <c r="N41" s="35">
        <f t="shared" si="3"/>
        <v>25300</v>
      </c>
      <c r="O41" s="5" t="s">
        <v>40</v>
      </c>
      <c r="P41" s="45">
        <v>1.0943000000000001</v>
      </c>
      <c r="Q41" s="206"/>
      <c r="R41" s="5" t="s">
        <v>96</v>
      </c>
      <c r="S41" s="5" t="s">
        <v>40</v>
      </c>
    </row>
    <row r="42" spans="1:19" ht="79.5" customHeight="1">
      <c r="A42" s="189"/>
      <c r="B42" s="25" t="s">
        <v>82</v>
      </c>
      <c r="C42" s="26" t="s">
        <v>83</v>
      </c>
      <c r="D42" s="41">
        <v>95009</v>
      </c>
      <c r="E42" s="41">
        <v>165836</v>
      </c>
      <c r="F42" s="47">
        <v>21980</v>
      </c>
      <c r="G42" s="32">
        <f t="shared" si="0"/>
        <v>7436</v>
      </c>
      <c r="H42" s="33">
        <f t="shared" si="1"/>
        <v>4.3225204731574163</v>
      </c>
      <c r="I42" s="33">
        <f t="shared" si="2"/>
        <v>22.301775147928993</v>
      </c>
      <c r="J42" s="34">
        <v>5373</v>
      </c>
      <c r="K42" s="34">
        <v>6512</v>
      </c>
      <c r="L42" s="34">
        <v>10423</v>
      </c>
      <c r="M42" s="34">
        <v>5088</v>
      </c>
      <c r="N42" s="35">
        <f t="shared" si="3"/>
        <v>89232</v>
      </c>
      <c r="O42" s="5" t="s">
        <v>40</v>
      </c>
      <c r="P42" s="48">
        <v>0.37</v>
      </c>
      <c r="Q42" s="206"/>
      <c r="R42" s="5" t="s">
        <v>96</v>
      </c>
      <c r="S42" s="5" t="s">
        <v>40</v>
      </c>
    </row>
    <row r="43" spans="1:19" ht="33" customHeight="1">
      <c r="J43" s="50"/>
      <c r="K43" s="50"/>
      <c r="L43" s="50"/>
      <c r="M43" s="50"/>
      <c r="P43" s="184"/>
      <c r="Q43" s="184"/>
    </row>
    <row r="44" spans="1:19">
      <c r="J44" s="50"/>
      <c r="K44" s="50"/>
      <c r="L44" s="50"/>
      <c r="M44" s="50"/>
    </row>
    <row r="45" spans="1:19">
      <c r="B45" s="27" t="s">
        <v>2</v>
      </c>
      <c r="J45" s="50"/>
      <c r="K45" s="50"/>
      <c r="L45" s="50"/>
      <c r="M45" s="50"/>
    </row>
    <row r="46" spans="1:19" ht="39" customHeight="1">
      <c r="B46" s="190" t="s">
        <v>90</v>
      </c>
      <c r="C46" s="190"/>
      <c r="D46" s="190"/>
      <c r="E46" s="190"/>
      <c r="F46" s="190"/>
      <c r="G46" s="190"/>
      <c r="H46" s="190"/>
      <c r="I46" s="190"/>
    </row>
    <row r="47" spans="1:19">
      <c r="B47" s="28"/>
      <c r="C47" s="28"/>
      <c r="D47" s="28"/>
      <c r="E47" s="28"/>
      <c r="F47" s="28"/>
      <c r="G47" s="28"/>
      <c r="H47" s="28"/>
      <c r="I47" s="28"/>
    </row>
    <row r="48" spans="1:19" ht="32.25" customHeight="1">
      <c r="B48" s="183" t="s">
        <v>91</v>
      </c>
      <c r="C48" s="183"/>
      <c r="D48" s="183"/>
      <c r="E48" s="183"/>
      <c r="F48" s="183"/>
      <c r="G48" s="183"/>
      <c r="H48" s="183"/>
      <c r="I48" s="183"/>
    </row>
    <row r="50" spans="2:9" ht="47.25" customHeight="1">
      <c r="B50" s="181" t="s">
        <v>99</v>
      </c>
      <c r="C50" s="181"/>
      <c r="D50" s="181"/>
      <c r="E50" s="181"/>
      <c r="F50" s="181"/>
      <c r="G50" s="181"/>
      <c r="H50" s="181"/>
      <c r="I50" s="181"/>
    </row>
    <row r="51" spans="2:9" ht="31.5" customHeight="1">
      <c r="B51" s="182" t="s">
        <v>97</v>
      </c>
      <c r="C51" s="182"/>
      <c r="D51" s="182"/>
      <c r="E51" s="182"/>
      <c r="F51" s="182"/>
      <c r="G51" s="182"/>
      <c r="H51" s="182"/>
      <c r="I51" s="182"/>
    </row>
    <row r="53" spans="2:9" ht="35.25" customHeight="1">
      <c r="B53" s="181" t="s">
        <v>100</v>
      </c>
      <c r="C53" s="181"/>
      <c r="D53" s="181"/>
      <c r="E53" s="181"/>
      <c r="F53" s="181"/>
      <c r="G53" s="181"/>
      <c r="H53" s="181"/>
      <c r="I53" s="181"/>
    </row>
    <row r="56" spans="2:9" ht="39" customHeight="1">
      <c r="B56" s="215" t="s">
        <v>283</v>
      </c>
      <c r="C56" s="215"/>
      <c r="D56" s="215"/>
      <c r="E56" s="215"/>
      <c r="F56" s="215"/>
      <c r="G56" s="215"/>
      <c r="H56" s="215"/>
      <c r="I56" s="215"/>
    </row>
  </sheetData>
  <mergeCells count="14">
    <mergeCell ref="B56:I56"/>
    <mergeCell ref="B53:I53"/>
    <mergeCell ref="B51:I51"/>
    <mergeCell ref="B48:I48"/>
    <mergeCell ref="P43:Q43"/>
    <mergeCell ref="A2:A3"/>
    <mergeCell ref="A30:A31"/>
    <mergeCell ref="A39:A40"/>
    <mergeCell ref="B46:I46"/>
    <mergeCell ref="A41:A42"/>
    <mergeCell ref="A14:A16"/>
    <mergeCell ref="A17:A18"/>
    <mergeCell ref="A22:A23"/>
    <mergeCell ref="B50:I50"/>
  </mergeCells>
  <pageMargins left="0" right="0" top="0" bottom="0" header="0" footer="0"/>
  <pageSetup paperSize="9" scale="8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13" workbookViewId="0">
      <selection activeCell="E20" sqref="E20"/>
    </sheetView>
  </sheetViews>
  <sheetFormatPr defaultRowHeight="11.25"/>
  <cols>
    <col min="1" max="1" width="2.85546875" style="179" customWidth="1"/>
    <col min="2" max="2" width="20.7109375" style="180" customWidth="1"/>
    <col min="3" max="3" width="24.85546875" style="180" customWidth="1"/>
    <col min="4" max="4" width="18.42578125" style="143" customWidth="1"/>
    <col min="5" max="5" width="18.5703125" style="143" customWidth="1"/>
    <col min="6" max="16384" width="9.140625" style="143"/>
  </cols>
  <sheetData>
    <row r="1" spans="1:5" ht="45">
      <c r="A1" s="160" t="s">
        <v>0</v>
      </c>
      <c r="B1" s="161" t="s">
        <v>87</v>
      </c>
      <c r="C1" s="161" t="s">
        <v>1</v>
      </c>
      <c r="D1" s="146" t="s">
        <v>238</v>
      </c>
      <c r="E1" s="146" t="s">
        <v>239</v>
      </c>
    </row>
    <row r="2" spans="1:5">
      <c r="A2" s="196">
        <v>1</v>
      </c>
      <c r="B2" s="162" t="s">
        <v>3</v>
      </c>
      <c r="C2" s="162" t="s">
        <v>3</v>
      </c>
      <c r="D2" s="146" t="s">
        <v>195</v>
      </c>
      <c r="E2" s="146"/>
    </row>
    <row r="3" spans="1:5">
      <c r="A3" s="196"/>
      <c r="B3" s="163" t="s">
        <v>4</v>
      </c>
      <c r="C3" s="163" t="s">
        <v>5</v>
      </c>
      <c r="D3" s="146" t="s">
        <v>217</v>
      </c>
      <c r="E3" s="146"/>
    </row>
    <row r="4" spans="1:5" ht="22.5">
      <c r="A4" s="164">
        <v>2</v>
      </c>
      <c r="B4" s="163" t="s">
        <v>6</v>
      </c>
      <c r="C4" s="163" t="s">
        <v>199</v>
      </c>
      <c r="D4" s="146" t="s">
        <v>218</v>
      </c>
      <c r="E4" s="146" t="s">
        <v>215</v>
      </c>
    </row>
    <row r="5" spans="1:5">
      <c r="A5" s="164">
        <v>3</v>
      </c>
      <c r="B5" s="163" t="s">
        <v>7</v>
      </c>
      <c r="C5" s="163" t="s">
        <v>7</v>
      </c>
      <c r="D5" s="146" t="s">
        <v>184</v>
      </c>
      <c r="E5" s="146"/>
    </row>
    <row r="6" spans="1:5">
      <c r="A6" s="164">
        <v>4</v>
      </c>
      <c r="B6" s="163" t="s">
        <v>8</v>
      </c>
      <c r="C6" s="163" t="s">
        <v>9</v>
      </c>
      <c r="D6" s="146" t="s">
        <v>219</v>
      </c>
      <c r="E6" s="146" t="s">
        <v>213</v>
      </c>
    </row>
    <row r="7" spans="1:5">
      <c r="A7" s="164">
        <v>5</v>
      </c>
      <c r="B7" s="162" t="s">
        <v>10</v>
      </c>
      <c r="C7" s="163" t="s">
        <v>42</v>
      </c>
      <c r="D7" s="146" t="s">
        <v>220</v>
      </c>
      <c r="E7" s="146"/>
    </row>
    <row r="8" spans="1:5" ht="22.5">
      <c r="A8" s="164">
        <v>6</v>
      </c>
      <c r="B8" s="163" t="s">
        <v>11</v>
      </c>
      <c r="C8" s="163" t="s">
        <v>12</v>
      </c>
      <c r="D8" s="146" t="s">
        <v>221</v>
      </c>
      <c r="E8" s="146"/>
    </row>
    <row r="9" spans="1:5">
      <c r="A9" s="164">
        <v>7</v>
      </c>
      <c r="B9" s="163" t="s">
        <v>13</v>
      </c>
      <c r="C9" s="163" t="s">
        <v>14</v>
      </c>
      <c r="D9" s="146" t="s">
        <v>222</v>
      </c>
      <c r="E9" s="146"/>
    </row>
    <row r="10" spans="1:5">
      <c r="A10" s="164">
        <v>8</v>
      </c>
      <c r="B10" s="163" t="s">
        <v>15</v>
      </c>
      <c r="C10" s="163" t="s">
        <v>43</v>
      </c>
      <c r="D10" s="146" t="s">
        <v>223</v>
      </c>
      <c r="E10" s="146" t="s">
        <v>197</v>
      </c>
    </row>
    <row r="11" spans="1:5">
      <c r="A11" s="164">
        <v>9</v>
      </c>
      <c r="B11" s="163" t="s">
        <v>16</v>
      </c>
      <c r="C11" s="163" t="s">
        <v>44</v>
      </c>
      <c r="D11" s="146" t="s">
        <v>203</v>
      </c>
      <c r="E11" s="146" t="s">
        <v>192</v>
      </c>
    </row>
    <row r="12" spans="1:5">
      <c r="A12" s="164">
        <v>10</v>
      </c>
      <c r="B12" s="163" t="s">
        <v>17</v>
      </c>
      <c r="C12" s="163" t="s">
        <v>17</v>
      </c>
      <c r="D12" s="146" t="s">
        <v>224</v>
      </c>
      <c r="E12" s="146"/>
    </row>
    <row r="13" spans="1:5">
      <c r="A13" s="164">
        <v>11</v>
      </c>
      <c r="B13" s="163" t="s">
        <v>18</v>
      </c>
      <c r="C13" s="163" t="s">
        <v>19</v>
      </c>
      <c r="D13" s="146" t="s">
        <v>225</v>
      </c>
      <c r="E13" s="146"/>
    </row>
    <row r="14" spans="1:5">
      <c r="A14" s="197">
        <v>12</v>
      </c>
      <c r="B14" s="163" t="s">
        <v>20</v>
      </c>
      <c r="C14" s="163" t="s">
        <v>45</v>
      </c>
      <c r="D14" s="146" t="s">
        <v>226</v>
      </c>
      <c r="E14" s="146" t="s">
        <v>203</v>
      </c>
    </row>
    <row r="15" spans="1:5">
      <c r="A15" s="198"/>
      <c r="B15" s="163" t="s">
        <v>46</v>
      </c>
      <c r="C15" s="163" t="s">
        <v>46</v>
      </c>
      <c r="D15" s="146"/>
      <c r="E15" s="146" t="s">
        <v>198</v>
      </c>
    </row>
    <row r="16" spans="1:5" ht="22.5">
      <c r="A16" s="199"/>
      <c r="B16" s="163" t="s">
        <v>47</v>
      </c>
      <c r="C16" s="163" t="s">
        <v>48</v>
      </c>
      <c r="D16" s="146"/>
      <c r="E16" s="142" t="s">
        <v>200</v>
      </c>
    </row>
    <row r="17" spans="1:5" ht="33.75">
      <c r="A17" s="197">
        <v>13</v>
      </c>
      <c r="B17" s="165" t="s">
        <v>49</v>
      </c>
      <c r="C17" s="163" t="s">
        <v>50</v>
      </c>
      <c r="D17" s="146"/>
      <c r="E17" s="146" t="s">
        <v>206</v>
      </c>
    </row>
    <row r="18" spans="1:5" ht="33.75">
      <c r="A18" s="199"/>
      <c r="B18" s="165" t="s">
        <v>51</v>
      </c>
      <c r="C18" s="163" t="s">
        <v>52</v>
      </c>
      <c r="D18" s="146"/>
      <c r="E18" s="146" t="s">
        <v>227</v>
      </c>
    </row>
    <row r="19" spans="1:5" ht="22.5">
      <c r="A19" s="164">
        <v>14</v>
      </c>
      <c r="B19" s="165" t="s">
        <v>53</v>
      </c>
      <c r="C19" s="163" t="s">
        <v>54</v>
      </c>
      <c r="D19" s="146"/>
      <c r="E19" s="146" t="s">
        <v>211</v>
      </c>
    </row>
    <row r="20" spans="1:5">
      <c r="A20" s="164">
        <v>15</v>
      </c>
      <c r="B20" s="165" t="s">
        <v>55</v>
      </c>
      <c r="C20" s="163" t="s">
        <v>56</v>
      </c>
      <c r="D20" s="146"/>
      <c r="E20" s="146" t="s">
        <v>205</v>
      </c>
    </row>
    <row r="21" spans="1:5" ht="22.5">
      <c r="A21" s="164">
        <v>16</v>
      </c>
      <c r="B21" s="165" t="s">
        <v>57</v>
      </c>
      <c r="C21" s="165" t="s">
        <v>58</v>
      </c>
      <c r="D21" s="146"/>
      <c r="E21" s="146" t="s">
        <v>210</v>
      </c>
    </row>
    <row r="22" spans="1:5" ht="33.75">
      <c r="A22" s="197">
        <v>17</v>
      </c>
      <c r="B22" s="165" t="s">
        <v>59</v>
      </c>
      <c r="C22" s="163" t="s">
        <v>60</v>
      </c>
      <c r="D22" s="146"/>
      <c r="E22" s="146" t="s">
        <v>188</v>
      </c>
    </row>
    <row r="23" spans="1:5" ht="33.75">
      <c r="A23" s="199"/>
      <c r="B23" s="165" t="s">
        <v>61</v>
      </c>
      <c r="C23" s="163" t="s">
        <v>62</v>
      </c>
      <c r="D23" s="146"/>
      <c r="E23" s="146" t="s">
        <v>197</v>
      </c>
    </row>
    <row r="24" spans="1:5" ht="22.5">
      <c r="A24" s="166">
        <v>18</v>
      </c>
      <c r="B24" s="167" t="s">
        <v>21</v>
      </c>
      <c r="C24" s="167" t="s">
        <v>22</v>
      </c>
      <c r="D24" s="142" t="s">
        <v>230</v>
      </c>
      <c r="E24" s="146" t="s">
        <v>189</v>
      </c>
    </row>
    <row r="25" spans="1:5" ht="22.5">
      <c r="A25" s="166">
        <v>19</v>
      </c>
      <c r="B25" s="167" t="s">
        <v>23</v>
      </c>
      <c r="C25" s="167" t="s">
        <v>63</v>
      </c>
      <c r="D25" s="146" t="s">
        <v>229</v>
      </c>
      <c r="E25" s="146" t="s">
        <v>216</v>
      </c>
    </row>
    <row r="26" spans="1:5">
      <c r="A26" s="166">
        <v>20</v>
      </c>
      <c r="B26" s="167" t="s">
        <v>24</v>
      </c>
      <c r="C26" s="167" t="s">
        <v>25</v>
      </c>
      <c r="D26" s="146" t="s">
        <v>228</v>
      </c>
      <c r="E26" s="146" t="s">
        <v>209</v>
      </c>
    </row>
    <row r="27" spans="1:5">
      <c r="A27" s="168">
        <v>21</v>
      </c>
      <c r="B27" s="169" t="s">
        <v>26</v>
      </c>
      <c r="C27" s="169" t="s">
        <v>27</v>
      </c>
      <c r="D27" s="146" t="s">
        <v>185</v>
      </c>
      <c r="E27" s="146" t="s">
        <v>191</v>
      </c>
    </row>
    <row r="28" spans="1:5" ht="22.5">
      <c r="A28" s="168">
        <v>22</v>
      </c>
      <c r="B28" s="169" t="s">
        <v>28</v>
      </c>
      <c r="C28" s="169" t="s">
        <v>64</v>
      </c>
      <c r="D28" s="146" t="s">
        <v>231</v>
      </c>
      <c r="E28" s="142" t="s">
        <v>214</v>
      </c>
    </row>
    <row r="29" spans="1:5" ht="22.5">
      <c r="A29" s="170">
        <v>23</v>
      </c>
      <c r="B29" s="171" t="s">
        <v>29</v>
      </c>
      <c r="C29" s="171" t="s">
        <v>30</v>
      </c>
      <c r="D29" s="142" t="s">
        <v>187</v>
      </c>
      <c r="E29" s="146" t="s">
        <v>204</v>
      </c>
    </row>
    <row r="30" spans="1:5" ht="33.75">
      <c r="A30" s="200">
        <v>24</v>
      </c>
      <c r="B30" s="171" t="s">
        <v>84</v>
      </c>
      <c r="C30" s="171" t="s">
        <v>66</v>
      </c>
      <c r="D30" s="146" t="s">
        <v>233</v>
      </c>
      <c r="E30" s="142" t="s">
        <v>232</v>
      </c>
    </row>
    <row r="31" spans="1:5" ht="33.75">
      <c r="A31" s="201"/>
      <c r="B31" s="171" t="s">
        <v>65</v>
      </c>
      <c r="C31" s="171" t="s">
        <v>67</v>
      </c>
      <c r="D31" s="146"/>
      <c r="E31" s="146" t="s">
        <v>202</v>
      </c>
    </row>
    <row r="32" spans="1:5" ht="33.75">
      <c r="A32" s="170">
        <v>25</v>
      </c>
      <c r="B32" s="172" t="s">
        <v>31</v>
      </c>
      <c r="C32" s="172" t="s">
        <v>32</v>
      </c>
      <c r="D32" s="146" t="s">
        <v>234</v>
      </c>
      <c r="E32" s="146"/>
    </row>
    <row r="33" spans="1:5" ht="56.25">
      <c r="A33" s="170">
        <v>26</v>
      </c>
      <c r="B33" s="171" t="s">
        <v>33</v>
      </c>
      <c r="C33" s="171" t="s">
        <v>34</v>
      </c>
      <c r="D33" s="146" t="s">
        <v>186</v>
      </c>
      <c r="E33" s="146" t="s">
        <v>193</v>
      </c>
    </row>
    <row r="34" spans="1:5" ht="22.5">
      <c r="A34" s="170">
        <v>27</v>
      </c>
      <c r="B34" s="171" t="s">
        <v>35</v>
      </c>
      <c r="C34" s="171" t="s">
        <v>36</v>
      </c>
      <c r="D34" s="146" t="s">
        <v>235</v>
      </c>
      <c r="E34" s="146" t="s">
        <v>194</v>
      </c>
    </row>
    <row r="35" spans="1:5" ht="22.5">
      <c r="A35" s="173">
        <v>28</v>
      </c>
      <c r="B35" s="174" t="s">
        <v>68</v>
      </c>
      <c r="C35" s="175" t="s">
        <v>69</v>
      </c>
      <c r="D35" s="146"/>
      <c r="E35" s="146" t="s">
        <v>212</v>
      </c>
    </row>
    <row r="36" spans="1:5" ht="33.75">
      <c r="A36" s="173">
        <v>29</v>
      </c>
      <c r="B36" s="174" t="s">
        <v>70</v>
      </c>
      <c r="C36" s="175" t="s">
        <v>71</v>
      </c>
      <c r="D36" s="146"/>
      <c r="E36" s="146" t="s">
        <v>190</v>
      </c>
    </row>
    <row r="37" spans="1:5">
      <c r="A37" s="176">
        <v>30</v>
      </c>
      <c r="B37" s="177" t="s">
        <v>72</v>
      </c>
      <c r="C37" s="178" t="s">
        <v>73</v>
      </c>
      <c r="D37" s="146"/>
      <c r="E37" s="146" t="s">
        <v>196</v>
      </c>
    </row>
    <row r="38" spans="1:5">
      <c r="A38" s="176">
        <v>31</v>
      </c>
      <c r="B38" s="177" t="s">
        <v>74</v>
      </c>
      <c r="C38" s="178" t="s">
        <v>75</v>
      </c>
      <c r="D38" s="146"/>
      <c r="E38" s="146" t="s">
        <v>207</v>
      </c>
    </row>
    <row r="39" spans="1:5" ht="22.5">
      <c r="A39" s="194">
        <v>32</v>
      </c>
      <c r="B39" s="177" t="s">
        <v>76</v>
      </c>
      <c r="C39" s="178" t="s">
        <v>77</v>
      </c>
      <c r="D39" s="146"/>
      <c r="E39" s="146" t="s">
        <v>237</v>
      </c>
    </row>
    <row r="40" spans="1:5" ht="22.5">
      <c r="A40" s="195"/>
      <c r="B40" s="177" t="s">
        <v>78</v>
      </c>
      <c r="C40" s="178" t="s">
        <v>79</v>
      </c>
      <c r="D40" s="146"/>
      <c r="E40" s="146" t="s">
        <v>236</v>
      </c>
    </row>
    <row r="41" spans="1:5">
      <c r="A41" s="194">
        <v>33</v>
      </c>
      <c r="B41" s="177" t="s">
        <v>80</v>
      </c>
      <c r="C41" s="178" t="s">
        <v>81</v>
      </c>
      <c r="D41" s="146"/>
      <c r="E41" s="146" t="s">
        <v>208</v>
      </c>
    </row>
    <row r="42" spans="1:5" ht="22.5">
      <c r="A42" s="195"/>
      <c r="B42" s="177" t="s">
        <v>82</v>
      </c>
      <c r="C42" s="178" t="s">
        <v>83</v>
      </c>
      <c r="D42" s="146"/>
      <c r="E42" s="142" t="s">
        <v>201</v>
      </c>
    </row>
    <row r="44" spans="1:5">
      <c r="B44" s="143"/>
      <c r="C44" s="143"/>
    </row>
    <row r="46" spans="1:5">
      <c r="B46" s="143"/>
      <c r="C46" s="143"/>
    </row>
  </sheetData>
  <mergeCells count="7">
    <mergeCell ref="A41:A42"/>
    <mergeCell ref="A2:A3"/>
    <mergeCell ref="A14:A16"/>
    <mergeCell ref="A17:A18"/>
    <mergeCell ref="A22:A23"/>
    <mergeCell ref="A30:A31"/>
    <mergeCell ref="A39:A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opLeftCell="A37" workbookViewId="0">
      <selection activeCell="I2" sqref="I2"/>
    </sheetView>
  </sheetViews>
  <sheetFormatPr defaultRowHeight="15"/>
  <cols>
    <col min="1" max="1" width="5.85546875" style="62" customWidth="1"/>
    <col min="2" max="2" width="15.5703125" style="110" customWidth="1"/>
    <col min="3" max="3" width="14" style="110" customWidth="1"/>
    <col min="4" max="4" width="10.5703125" style="158" customWidth="1"/>
    <col min="5" max="5" width="11.7109375" style="143" customWidth="1"/>
    <col min="6" max="6" width="10.85546875" style="143" customWidth="1"/>
    <col min="7" max="7" width="13.5703125" style="143" customWidth="1"/>
    <col min="8" max="8" width="13.7109375" style="143" customWidth="1"/>
    <col min="9" max="9" width="12.28515625" style="143" customWidth="1"/>
    <col min="10" max="10" width="14.140625" style="143" customWidth="1"/>
    <col min="11" max="11" width="9.140625" style="143"/>
    <col min="12" max="12" width="12.7109375" style="143" customWidth="1"/>
  </cols>
  <sheetData>
    <row r="1" spans="1:12" ht="43.5" customHeight="1">
      <c r="A1" s="93" t="s">
        <v>0</v>
      </c>
      <c r="B1" s="120" t="s">
        <v>154</v>
      </c>
      <c r="C1" s="120" t="s">
        <v>1</v>
      </c>
      <c r="D1" s="145" t="s">
        <v>173</v>
      </c>
      <c r="E1" s="145" t="s">
        <v>172</v>
      </c>
      <c r="F1" s="142" t="s">
        <v>174</v>
      </c>
      <c r="G1" s="142" t="s">
        <v>183</v>
      </c>
      <c r="H1" s="146" t="s">
        <v>178</v>
      </c>
      <c r="I1" s="142" t="s">
        <v>177</v>
      </c>
      <c r="J1" s="142" t="s">
        <v>180</v>
      </c>
      <c r="K1" s="147" t="s">
        <v>181</v>
      </c>
      <c r="L1" s="142" t="s">
        <v>182</v>
      </c>
    </row>
    <row r="2" spans="1:12" ht="24">
      <c r="A2" s="204">
        <v>1</v>
      </c>
      <c r="B2" s="121" t="s">
        <v>3</v>
      </c>
      <c r="C2" s="121" t="s">
        <v>3</v>
      </c>
      <c r="D2" s="148">
        <v>1314740</v>
      </c>
      <c r="E2" s="148"/>
      <c r="F2" s="149">
        <v>790540</v>
      </c>
      <c r="G2" s="149">
        <f>D2+E2+F2</f>
        <v>2105280</v>
      </c>
      <c r="H2" s="144">
        <f>D2+E2</f>
        <v>1314740</v>
      </c>
      <c r="I2" s="150">
        <v>136561</v>
      </c>
      <c r="J2" s="144">
        <f>H2-I2</f>
        <v>1178179</v>
      </c>
      <c r="K2" s="129">
        <v>5.8500000000000003E-2</v>
      </c>
      <c r="L2" s="151">
        <f>J2*K2</f>
        <v>68923.4715</v>
      </c>
    </row>
    <row r="3" spans="1:12">
      <c r="A3" s="205"/>
      <c r="B3" s="94" t="s">
        <v>4</v>
      </c>
      <c r="C3" s="94" t="s">
        <v>5</v>
      </c>
      <c r="D3" s="148">
        <v>3296060</v>
      </c>
      <c r="E3" s="148"/>
      <c r="F3" s="148"/>
      <c r="G3" s="149">
        <f t="shared" ref="G3:G44" si="0">D3+E3+F3</f>
        <v>3296060</v>
      </c>
      <c r="H3" s="144">
        <f t="shared" ref="H3:H44" si="1">D3+E3</f>
        <v>3296060</v>
      </c>
      <c r="I3" s="150">
        <v>1368958</v>
      </c>
      <c r="J3" s="144">
        <f t="shared" ref="J3:J44" si="2">H3-I3</f>
        <v>1927102</v>
      </c>
      <c r="K3" s="91">
        <v>6.4500000000000002E-2</v>
      </c>
      <c r="L3" s="151">
        <f t="shared" ref="L3:L44" si="3">J3*K3</f>
        <v>124298.079</v>
      </c>
    </row>
    <row r="4" spans="1:12" ht="36">
      <c r="A4" s="111">
        <v>2</v>
      </c>
      <c r="B4" s="104" t="s">
        <v>6</v>
      </c>
      <c r="C4" s="94" t="s">
        <v>175</v>
      </c>
      <c r="D4" s="148">
        <v>976610</v>
      </c>
      <c r="E4" s="148">
        <v>727104</v>
      </c>
      <c r="F4" s="149">
        <v>1239056</v>
      </c>
      <c r="G4" s="149">
        <f t="shared" si="0"/>
        <v>2942770</v>
      </c>
      <c r="H4" s="144">
        <f t="shared" si="1"/>
        <v>1703714</v>
      </c>
      <c r="I4" s="150">
        <v>157482</v>
      </c>
      <c r="J4" s="144">
        <f t="shared" si="2"/>
        <v>1546232</v>
      </c>
      <c r="K4" s="130">
        <v>0.21840000000000001</v>
      </c>
      <c r="L4" s="151">
        <f t="shared" si="3"/>
        <v>337697.06880000001</v>
      </c>
    </row>
    <row r="5" spans="1:12" ht="33.75" customHeight="1">
      <c r="A5" s="112">
        <v>3</v>
      </c>
      <c r="B5" s="94" t="s">
        <v>7</v>
      </c>
      <c r="C5" s="94" t="s">
        <v>7</v>
      </c>
      <c r="D5" s="148">
        <v>4394744</v>
      </c>
      <c r="E5" s="148"/>
      <c r="F5" s="148"/>
      <c r="G5" s="149">
        <f t="shared" si="0"/>
        <v>4394744</v>
      </c>
      <c r="H5" s="144">
        <f t="shared" si="1"/>
        <v>4394744</v>
      </c>
      <c r="I5" s="150">
        <v>1918229</v>
      </c>
      <c r="J5" s="144">
        <f t="shared" si="2"/>
        <v>2476515</v>
      </c>
      <c r="K5" s="131">
        <v>4.1000000000000002E-2</v>
      </c>
      <c r="L5" s="151">
        <f t="shared" si="3"/>
        <v>101537.11500000001</v>
      </c>
    </row>
    <row r="6" spans="1:12" ht="24">
      <c r="A6" s="112">
        <v>4</v>
      </c>
      <c r="B6" s="94" t="s">
        <v>8</v>
      </c>
      <c r="C6" s="94" t="s">
        <v>9</v>
      </c>
      <c r="D6" s="148">
        <v>788880</v>
      </c>
      <c r="E6" s="148">
        <v>261000</v>
      </c>
      <c r="F6" s="149">
        <v>677880</v>
      </c>
      <c r="G6" s="149">
        <f t="shared" si="0"/>
        <v>1727760</v>
      </c>
      <c r="H6" s="144">
        <f t="shared" si="1"/>
        <v>1049880</v>
      </c>
      <c r="I6" s="150">
        <v>104134</v>
      </c>
      <c r="J6" s="144">
        <f t="shared" si="2"/>
        <v>945746</v>
      </c>
      <c r="K6" s="131">
        <v>4.7500000000000001E-2</v>
      </c>
      <c r="L6" s="151">
        <f t="shared" si="3"/>
        <v>44922.934999999998</v>
      </c>
    </row>
    <row r="7" spans="1:12" ht="24">
      <c r="A7" s="112">
        <v>5</v>
      </c>
      <c r="B7" s="121" t="s">
        <v>10</v>
      </c>
      <c r="C7" s="94" t="s">
        <v>42</v>
      </c>
      <c r="D7" s="148">
        <v>1086579</v>
      </c>
      <c r="E7" s="148"/>
      <c r="F7" s="148"/>
      <c r="G7" s="149">
        <f t="shared" si="0"/>
        <v>1086579</v>
      </c>
      <c r="H7" s="144">
        <f t="shared" si="1"/>
        <v>1086579</v>
      </c>
      <c r="I7" s="150">
        <v>634012</v>
      </c>
      <c r="J7" s="144">
        <f t="shared" si="2"/>
        <v>452567</v>
      </c>
      <c r="K7" s="132">
        <v>0.1034559</v>
      </c>
      <c r="L7" s="151">
        <f t="shared" si="3"/>
        <v>46820.726295300003</v>
      </c>
    </row>
    <row r="8" spans="1:12" ht="36">
      <c r="A8" s="112">
        <v>6</v>
      </c>
      <c r="B8" s="94" t="s">
        <v>11</v>
      </c>
      <c r="C8" s="94" t="s">
        <v>12</v>
      </c>
      <c r="D8" s="148">
        <v>148410</v>
      </c>
      <c r="E8" s="148"/>
      <c r="F8" s="149">
        <v>42480</v>
      </c>
      <c r="G8" s="149">
        <f t="shared" si="0"/>
        <v>190890</v>
      </c>
      <c r="H8" s="144">
        <f t="shared" si="1"/>
        <v>148410</v>
      </c>
      <c r="I8" s="150">
        <v>54660</v>
      </c>
      <c r="J8" s="144">
        <f t="shared" si="2"/>
        <v>93750</v>
      </c>
      <c r="K8" s="131">
        <v>0.188</v>
      </c>
      <c r="L8" s="151">
        <f t="shared" si="3"/>
        <v>17625</v>
      </c>
    </row>
    <row r="9" spans="1:12" ht="24">
      <c r="A9" s="112">
        <v>7</v>
      </c>
      <c r="B9" s="94" t="s">
        <v>13</v>
      </c>
      <c r="C9" s="94" t="s">
        <v>14</v>
      </c>
      <c r="D9" s="148">
        <v>2710914</v>
      </c>
      <c r="E9" s="148"/>
      <c r="F9" s="148"/>
      <c r="G9" s="149">
        <f t="shared" si="0"/>
        <v>2710914</v>
      </c>
      <c r="H9" s="144">
        <f t="shared" si="1"/>
        <v>2710914</v>
      </c>
      <c r="I9" s="150">
        <v>1894094</v>
      </c>
      <c r="J9" s="144">
        <f t="shared" si="2"/>
        <v>816820</v>
      </c>
      <c r="K9" s="131">
        <v>6.6000000000000003E-2</v>
      </c>
      <c r="L9" s="151">
        <f t="shared" si="3"/>
        <v>53910.12</v>
      </c>
    </row>
    <row r="10" spans="1:12" ht="38.25" customHeight="1">
      <c r="A10" s="111">
        <v>8</v>
      </c>
      <c r="B10" s="105" t="s">
        <v>15</v>
      </c>
      <c r="C10" s="123" t="s">
        <v>43</v>
      </c>
      <c r="D10" s="148">
        <f>242452+401212</f>
        <v>643664</v>
      </c>
      <c r="E10" s="152">
        <f>173992+475132</f>
        <v>649124</v>
      </c>
      <c r="F10" s="149">
        <v>401520</v>
      </c>
      <c r="G10" s="149">
        <f t="shared" si="0"/>
        <v>1694308</v>
      </c>
      <c r="H10" s="144">
        <f t="shared" si="1"/>
        <v>1292788</v>
      </c>
      <c r="I10" s="150">
        <v>350500</v>
      </c>
      <c r="J10" s="144">
        <f t="shared" si="2"/>
        <v>942288</v>
      </c>
      <c r="K10" s="131">
        <v>0.155</v>
      </c>
      <c r="L10" s="151">
        <f t="shared" si="3"/>
        <v>146054.63999999998</v>
      </c>
    </row>
    <row r="11" spans="1:12" ht="24">
      <c r="A11" s="111">
        <v>9</v>
      </c>
      <c r="B11" s="104" t="s">
        <v>16</v>
      </c>
      <c r="C11" s="104" t="s">
        <v>44</v>
      </c>
      <c r="D11" s="148">
        <v>320900</v>
      </c>
      <c r="E11" s="148">
        <v>352900</v>
      </c>
      <c r="F11" s="149">
        <v>131950</v>
      </c>
      <c r="G11" s="149">
        <f t="shared" si="0"/>
        <v>805750</v>
      </c>
      <c r="H11" s="144">
        <f t="shared" si="1"/>
        <v>673800</v>
      </c>
      <c r="I11" s="150">
        <v>211411</v>
      </c>
      <c r="J11" s="144">
        <f t="shared" si="2"/>
        <v>462389</v>
      </c>
      <c r="K11" s="131">
        <v>2.9399999999999999E-2</v>
      </c>
      <c r="L11" s="151">
        <f t="shared" si="3"/>
        <v>13594.2366</v>
      </c>
    </row>
    <row r="12" spans="1:12" ht="27" customHeight="1">
      <c r="A12" s="112">
        <v>10</v>
      </c>
      <c r="B12" s="94" t="s">
        <v>17</v>
      </c>
      <c r="C12" s="94" t="s">
        <v>17</v>
      </c>
      <c r="D12" s="148">
        <v>1234200</v>
      </c>
      <c r="E12" s="148"/>
      <c r="F12" s="148"/>
      <c r="G12" s="149">
        <f t="shared" si="0"/>
        <v>1234200</v>
      </c>
      <c r="H12" s="144">
        <f t="shared" si="1"/>
        <v>1234200</v>
      </c>
      <c r="I12" s="150">
        <v>927688</v>
      </c>
      <c r="J12" s="144">
        <f t="shared" si="2"/>
        <v>306512</v>
      </c>
      <c r="K12" s="91">
        <v>6.1499999999999999E-2</v>
      </c>
      <c r="L12" s="151">
        <f t="shared" si="3"/>
        <v>18850.488000000001</v>
      </c>
    </row>
    <row r="13" spans="1:12" ht="24">
      <c r="A13" s="112">
        <v>11</v>
      </c>
      <c r="B13" s="94" t="s">
        <v>18</v>
      </c>
      <c r="C13" s="94" t="s">
        <v>155</v>
      </c>
      <c r="D13" s="148">
        <v>2566860</v>
      </c>
      <c r="E13" s="148"/>
      <c r="F13" s="148"/>
      <c r="G13" s="149">
        <f t="shared" si="0"/>
        <v>2566860</v>
      </c>
      <c r="H13" s="144">
        <f t="shared" si="1"/>
        <v>2566860</v>
      </c>
      <c r="I13" s="150">
        <v>1099126</v>
      </c>
      <c r="J13" s="144">
        <f t="shared" si="2"/>
        <v>1467734</v>
      </c>
      <c r="K13" s="91">
        <v>0.1205</v>
      </c>
      <c r="L13" s="151">
        <f t="shared" si="3"/>
        <v>176861.94699999999</v>
      </c>
    </row>
    <row r="14" spans="1:12" ht="24">
      <c r="A14" s="112">
        <v>12</v>
      </c>
      <c r="B14" s="94" t="s">
        <v>20</v>
      </c>
      <c r="C14" s="94" t="s">
        <v>156</v>
      </c>
      <c r="D14" s="152">
        <v>1253490</v>
      </c>
      <c r="E14" s="148">
        <v>775800</v>
      </c>
      <c r="F14" s="148"/>
      <c r="G14" s="149">
        <f t="shared" si="0"/>
        <v>2029290</v>
      </c>
      <c r="H14" s="144">
        <f t="shared" si="1"/>
        <v>2029290</v>
      </c>
      <c r="I14" s="150">
        <v>562233</v>
      </c>
      <c r="J14" s="144">
        <f t="shared" si="2"/>
        <v>1467057</v>
      </c>
      <c r="K14" s="133">
        <v>0.09</v>
      </c>
      <c r="L14" s="151">
        <f t="shared" si="3"/>
        <v>132035.13</v>
      </c>
    </row>
    <row r="15" spans="1:12" ht="24">
      <c r="A15" s="112">
        <v>13</v>
      </c>
      <c r="B15" s="94" t="s">
        <v>46</v>
      </c>
      <c r="C15" s="94" t="s">
        <v>46</v>
      </c>
      <c r="D15" s="153"/>
      <c r="E15" s="148">
        <v>2228130</v>
      </c>
      <c r="F15" s="148"/>
      <c r="G15" s="149">
        <f t="shared" si="0"/>
        <v>2228130</v>
      </c>
      <c r="H15" s="144">
        <f t="shared" si="1"/>
        <v>2228130</v>
      </c>
      <c r="I15" s="150">
        <v>1846371</v>
      </c>
      <c r="J15" s="144">
        <f t="shared" si="2"/>
        <v>381759</v>
      </c>
      <c r="K15" s="133">
        <v>0.105</v>
      </c>
      <c r="L15" s="151">
        <f t="shared" si="3"/>
        <v>40084.695</v>
      </c>
    </row>
    <row r="16" spans="1:12" ht="24">
      <c r="A16" s="112">
        <v>14</v>
      </c>
      <c r="B16" s="94" t="s">
        <v>47</v>
      </c>
      <c r="C16" s="94" t="s">
        <v>157</v>
      </c>
      <c r="D16" s="153"/>
      <c r="E16" s="148">
        <v>488871</v>
      </c>
      <c r="F16" s="148"/>
      <c r="G16" s="149">
        <f t="shared" si="0"/>
        <v>488871</v>
      </c>
      <c r="H16" s="144">
        <f t="shared" si="1"/>
        <v>488871</v>
      </c>
      <c r="I16" s="150">
        <v>452838</v>
      </c>
      <c r="J16" s="144">
        <f t="shared" si="2"/>
        <v>36033</v>
      </c>
      <c r="K16" s="134">
        <v>0.23400000000000001</v>
      </c>
      <c r="L16" s="151">
        <f t="shared" si="3"/>
        <v>8431.7219999999998</v>
      </c>
    </row>
    <row r="17" spans="1:12" ht="36">
      <c r="A17" s="112">
        <v>15</v>
      </c>
      <c r="B17" s="122" t="s">
        <v>49</v>
      </c>
      <c r="C17" s="94" t="s">
        <v>158</v>
      </c>
      <c r="D17" s="153"/>
      <c r="E17" s="148">
        <v>865050</v>
      </c>
      <c r="F17" s="148"/>
      <c r="G17" s="149">
        <f t="shared" si="0"/>
        <v>865050</v>
      </c>
      <c r="H17" s="144">
        <f t="shared" si="1"/>
        <v>865050</v>
      </c>
      <c r="I17" s="150">
        <v>833685</v>
      </c>
      <c r="J17" s="144">
        <f t="shared" si="2"/>
        <v>31365</v>
      </c>
      <c r="K17" s="133">
        <v>0.316</v>
      </c>
      <c r="L17" s="151">
        <f t="shared" si="3"/>
        <v>9911.34</v>
      </c>
    </row>
    <row r="18" spans="1:12" ht="48">
      <c r="A18" s="112">
        <v>16</v>
      </c>
      <c r="B18" s="122" t="s">
        <v>51</v>
      </c>
      <c r="C18" s="94" t="s">
        <v>159</v>
      </c>
      <c r="D18" s="153"/>
      <c r="E18" s="148">
        <v>1073880</v>
      </c>
      <c r="F18" s="148"/>
      <c r="G18" s="149">
        <f t="shared" si="0"/>
        <v>1073880</v>
      </c>
      <c r="H18" s="144">
        <f t="shared" si="1"/>
        <v>1073880</v>
      </c>
      <c r="I18" s="150">
        <v>1017373</v>
      </c>
      <c r="J18" s="144">
        <f t="shared" si="2"/>
        <v>56507</v>
      </c>
      <c r="K18" s="133">
        <v>0.38</v>
      </c>
      <c r="L18" s="151">
        <f t="shared" si="3"/>
        <v>21472.66</v>
      </c>
    </row>
    <row r="19" spans="1:12" ht="36">
      <c r="A19" s="112">
        <v>17</v>
      </c>
      <c r="B19" s="122" t="s">
        <v>160</v>
      </c>
      <c r="C19" s="94"/>
      <c r="D19" s="153"/>
      <c r="E19" s="148"/>
      <c r="F19" s="148"/>
      <c r="G19" s="149">
        <f t="shared" si="0"/>
        <v>0</v>
      </c>
      <c r="H19" s="144">
        <f t="shared" si="1"/>
        <v>0</v>
      </c>
      <c r="I19" s="150">
        <v>0</v>
      </c>
      <c r="J19" s="144">
        <f t="shared" si="2"/>
        <v>0</v>
      </c>
      <c r="K19" s="154">
        <v>0</v>
      </c>
      <c r="L19" s="151">
        <f t="shared" si="3"/>
        <v>0</v>
      </c>
    </row>
    <row r="20" spans="1:12" ht="49.5" customHeight="1">
      <c r="A20" s="111">
        <v>18</v>
      </c>
      <c r="B20" s="94" t="s">
        <v>53</v>
      </c>
      <c r="C20" s="104" t="s">
        <v>161</v>
      </c>
      <c r="D20" s="155"/>
      <c r="E20" s="148">
        <f>1441132+720580</f>
        <v>2161712</v>
      </c>
      <c r="F20" s="148"/>
      <c r="G20" s="149">
        <f t="shared" si="0"/>
        <v>2161712</v>
      </c>
      <c r="H20" s="144">
        <f t="shared" si="1"/>
        <v>2161712</v>
      </c>
      <c r="I20" s="150">
        <v>1980360</v>
      </c>
      <c r="J20" s="144">
        <f t="shared" si="2"/>
        <v>181352</v>
      </c>
      <c r="K20" s="91">
        <v>6.7500000000000004E-2</v>
      </c>
      <c r="L20" s="151">
        <f t="shared" si="3"/>
        <v>12241.26</v>
      </c>
    </row>
    <row r="21" spans="1:12" ht="36" customHeight="1">
      <c r="A21" s="112">
        <v>19</v>
      </c>
      <c r="B21" s="122" t="s">
        <v>55</v>
      </c>
      <c r="C21" s="94" t="s">
        <v>162</v>
      </c>
      <c r="D21" s="153"/>
      <c r="E21" s="148">
        <v>1676610</v>
      </c>
      <c r="F21" s="148"/>
      <c r="G21" s="149">
        <f t="shared" si="0"/>
        <v>1676610</v>
      </c>
      <c r="H21" s="144">
        <f t="shared" si="1"/>
        <v>1676610</v>
      </c>
      <c r="I21" s="150">
        <v>1620236</v>
      </c>
      <c r="J21" s="144">
        <f t="shared" si="2"/>
        <v>56374</v>
      </c>
      <c r="K21" s="133">
        <v>0.06</v>
      </c>
      <c r="L21" s="151">
        <f t="shared" si="3"/>
        <v>3382.44</v>
      </c>
    </row>
    <row r="22" spans="1:12" ht="40.5" customHeight="1">
      <c r="A22" s="111">
        <v>20</v>
      </c>
      <c r="B22" s="123" t="s">
        <v>57</v>
      </c>
      <c r="C22" s="94" t="s">
        <v>176</v>
      </c>
      <c r="D22" s="153"/>
      <c r="E22" s="148">
        <f>661589+1323200</f>
        <v>1984789</v>
      </c>
      <c r="F22" s="148"/>
      <c r="G22" s="149">
        <f t="shared" si="0"/>
        <v>1984789</v>
      </c>
      <c r="H22" s="144">
        <f t="shared" si="1"/>
        <v>1984789</v>
      </c>
      <c r="I22" s="150">
        <v>1920162</v>
      </c>
      <c r="J22" s="144">
        <f t="shared" si="2"/>
        <v>64627</v>
      </c>
      <c r="K22" s="134">
        <v>0.14899999999999999</v>
      </c>
      <c r="L22" s="151">
        <f t="shared" si="3"/>
        <v>9629.4229999999989</v>
      </c>
    </row>
    <row r="23" spans="1:12" ht="60">
      <c r="A23" s="112">
        <v>22</v>
      </c>
      <c r="B23" s="122" t="s">
        <v>59</v>
      </c>
      <c r="C23" s="94" t="s">
        <v>60</v>
      </c>
      <c r="D23" s="153"/>
      <c r="E23" s="148">
        <v>21016575</v>
      </c>
      <c r="F23" s="148"/>
      <c r="G23" s="149">
        <f t="shared" si="0"/>
        <v>21016575</v>
      </c>
      <c r="H23" s="144">
        <f t="shared" si="1"/>
        <v>21016575</v>
      </c>
      <c r="I23" s="150">
        <v>20783209</v>
      </c>
      <c r="J23" s="144">
        <f t="shared" si="2"/>
        <v>233366</v>
      </c>
      <c r="K23" s="133">
        <v>7.2099999999999997E-2</v>
      </c>
      <c r="L23" s="151">
        <f t="shared" si="3"/>
        <v>16825.688599999998</v>
      </c>
    </row>
    <row r="24" spans="1:12" ht="60">
      <c r="A24" s="112">
        <v>23</v>
      </c>
      <c r="B24" s="122" t="s">
        <v>61</v>
      </c>
      <c r="C24" s="94" t="s">
        <v>62</v>
      </c>
      <c r="D24" s="153"/>
      <c r="E24" s="148">
        <v>4753665</v>
      </c>
      <c r="F24" s="148"/>
      <c r="G24" s="149">
        <f t="shared" si="0"/>
        <v>4753665</v>
      </c>
      <c r="H24" s="144">
        <f t="shared" si="1"/>
        <v>4753665</v>
      </c>
      <c r="I24" s="150">
        <v>4716444</v>
      </c>
      <c r="J24" s="144">
        <f t="shared" si="2"/>
        <v>37221</v>
      </c>
      <c r="K24" s="133">
        <v>0.08</v>
      </c>
      <c r="L24" s="151">
        <f t="shared" si="3"/>
        <v>2977.68</v>
      </c>
    </row>
    <row r="25" spans="1:12" ht="24">
      <c r="A25" s="103">
        <v>24</v>
      </c>
      <c r="B25" s="124" t="s">
        <v>21</v>
      </c>
      <c r="C25" s="106" t="s">
        <v>22</v>
      </c>
      <c r="D25" s="153">
        <v>3018758</v>
      </c>
      <c r="E25" s="148">
        <v>3314880</v>
      </c>
      <c r="F25" s="149">
        <v>2123400</v>
      </c>
      <c r="G25" s="149">
        <f t="shared" si="0"/>
        <v>8457038</v>
      </c>
      <c r="H25" s="144">
        <f t="shared" si="1"/>
        <v>6333638</v>
      </c>
      <c r="I25" s="150">
        <v>1972777</v>
      </c>
      <c r="J25" s="144">
        <f t="shared" si="2"/>
        <v>4360861</v>
      </c>
      <c r="K25" s="135">
        <v>8.4500000000000006E-2</v>
      </c>
      <c r="L25" s="151">
        <f t="shared" si="3"/>
        <v>368492.75450000004</v>
      </c>
    </row>
    <row r="26" spans="1:12" ht="24">
      <c r="A26" s="102">
        <v>25</v>
      </c>
      <c r="B26" s="125" t="s">
        <v>23</v>
      </c>
      <c r="C26" s="107" t="s">
        <v>163</v>
      </c>
      <c r="D26" s="148">
        <f>36453+615270</f>
        <v>651723</v>
      </c>
      <c r="E26" s="152">
        <f>350010+1393770</f>
        <v>1743780</v>
      </c>
      <c r="F26" s="149">
        <v>316800</v>
      </c>
      <c r="G26" s="149">
        <f t="shared" si="0"/>
        <v>2712303</v>
      </c>
      <c r="H26" s="144">
        <f t="shared" si="1"/>
        <v>2395503</v>
      </c>
      <c r="I26" s="150">
        <v>1010305</v>
      </c>
      <c r="J26" s="144">
        <f t="shared" si="2"/>
        <v>1385198</v>
      </c>
      <c r="K26" s="136">
        <v>0.1119</v>
      </c>
      <c r="L26" s="151">
        <f t="shared" si="3"/>
        <v>155003.6562</v>
      </c>
    </row>
    <row r="27" spans="1:12" ht="24">
      <c r="A27" s="103">
        <v>26</v>
      </c>
      <c r="B27" s="124" t="s">
        <v>24</v>
      </c>
      <c r="C27" s="106" t="s">
        <v>25</v>
      </c>
      <c r="D27" s="152">
        <v>1175433</v>
      </c>
      <c r="E27" s="152">
        <v>813750</v>
      </c>
      <c r="F27" s="149">
        <v>572580</v>
      </c>
      <c r="G27" s="149">
        <f t="shared" si="0"/>
        <v>2561763</v>
      </c>
      <c r="H27" s="144">
        <f t="shared" si="1"/>
        <v>1989183</v>
      </c>
      <c r="I27" s="150">
        <v>670680</v>
      </c>
      <c r="J27" s="144">
        <f t="shared" si="2"/>
        <v>1318503</v>
      </c>
      <c r="K27" s="137">
        <v>0.109</v>
      </c>
      <c r="L27" s="151">
        <f t="shared" si="3"/>
        <v>143716.82699999999</v>
      </c>
    </row>
    <row r="28" spans="1:12" ht="24">
      <c r="A28" s="113">
        <v>27</v>
      </c>
      <c r="B28" s="108" t="s">
        <v>26</v>
      </c>
      <c r="C28" s="108" t="s">
        <v>27</v>
      </c>
      <c r="D28" s="148">
        <v>99981</v>
      </c>
      <c r="E28" s="148">
        <v>39600</v>
      </c>
      <c r="F28" s="149">
        <v>44100</v>
      </c>
      <c r="G28" s="149">
        <f t="shared" si="0"/>
        <v>183681</v>
      </c>
      <c r="H28" s="144">
        <f t="shared" si="1"/>
        <v>139581</v>
      </c>
      <c r="I28" s="150">
        <v>39559</v>
      </c>
      <c r="J28" s="144">
        <f t="shared" si="2"/>
        <v>100022</v>
      </c>
      <c r="K28" s="130">
        <v>0.16520000000000001</v>
      </c>
      <c r="L28" s="151">
        <f t="shared" si="3"/>
        <v>16523.634400000003</v>
      </c>
    </row>
    <row r="29" spans="1:12" ht="53.25" customHeight="1">
      <c r="A29" s="101">
        <v>28</v>
      </c>
      <c r="B29" s="128" t="s">
        <v>28</v>
      </c>
      <c r="C29" s="128" t="s">
        <v>164</v>
      </c>
      <c r="D29" s="148">
        <v>550150</v>
      </c>
      <c r="E29" s="148">
        <f>237250+507000</f>
        <v>744250</v>
      </c>
      <c r="F29" s="149">
        <v>722850</v>
      </c>
      <c r="G29" s="149">
        <f t="shared" si="0"/>
        <v>2017250</v>
      </c>
      <c r="H29" s="144">
        <f t="shared" si="1"/>
        <v>1294400</v>
      </c>
      <c r="I29" s="150">
        <f>313198-1568</f>
        <v>311630</v>
      </c>
      <c r="J29" s="144">
        <f t="shared" si="2"/>
        <v>982770</v>
      </c>
      <c r="K29" s="135">
        <v>4.4999999999999998E-2</v>
      </c>
      <c r="L29" s="151">
        <f t="shared" si="3"/>
        <v>44224.65</v>
      </c>
    </row>
    <row r="30" spans="1:12" ht="39.75" customHeight="1">
      <c r="A30" s="114">
        <v>29</v>
      </c>
      <c r="B30" s="96" t="s">
        <v>29</v>
      </c>
      <c r="C30" s="96" t="s">
        <v>30</v>
      </c>
      <c r="D30" s="148">
        <v>20602</v>
      </c>
      <c r="E30" s="148">
        <v>5000</v>
      </c>
      <c r="F30" s="149">
        <v>19000</v>
      </c>
      <c r="G30" s="149">
        <f t="shared" si="0"/>
        <v>44602</v>
      </c>
      <c r="H30" s="144">
        <f t="shared" si="1"/>
        <v>25602</v>
      </c>
      <c r="I30" s="150">
        <v>4308</v>
      </c>
      <c r="J30" s="144">
        <f t="shared" si="2"/>
        <v>21294</v>
      </c>
      <c r="K30" s="130">
        <v>3.2294999999999998</v>
      </c>
      <c r="L30" s="151">
        <f t="shared" si="3"/>
        <v>68768.972999999998</v>
      </c>
    </row>
    <row r="31" spans="1:12" ht="55.5" customHeight="1">
      <c r="A31" s="114">
        <v>30</v>
      </c>
      <c r="B31" s="96" t="s">
        <v>165</v>
      </c>
      <c r="C31" s="96" t="s">
        <v>166</v>
      </c>
      <c r="D31" s="148">
        <v>41204</v>
      </c>
      <c r="E31" s="148"/>
      <c r="F31" s="148"/>
      <c r="G31" s="149">
        <f t="shared" si="0"/>
        <v>41204</v>
      </c>
      <c r="H31" s="144">
        <f t="shared" si="1"/>
        <v>41204</v>
      </c>
      <c r="I31" s="150"/>
      <c r="J31" s="144">
        <f t="shared" si="2"/>
        <v>41204</v>
      </c>
      <c r="K31" s="151">
        <v>0</v>
      </c>
      <c r="L31" s="151">
        <f t="shared" si="3"/>
        <v>0</v>
      </c>
    </row>
    <row r="32" spans="1:12" ht="63.75" customHeight="1">
      <c r="A32" s="202">
        <v>31</v>
      </c>
      <c r="B32" s="97" t="s">
        <v>167</v>
      </c>
      <c r="C32" s="96" t="s">
        <v>179</v>
      </c>
      <c r="D32" s="148">
        <v>12033</v>
      </c>
      <c r="E32" s="148">
        <f>10000+5084</f>
        <v>15084</v>
      </c>
      <c r="F32" s="149">
        <v>20000</v>
      </c>
      <c r="G32" s="149">
        <f t="shared" si="0"/>
        <v>47117</v>
      </c>
      <c r="H32" s="144">
        <f t="shared" si="1"/>
        <v>27117</v>
      </c>
      <c r="I32" s="150">
        <v>688</v>
      </c>
      <c r="J32" s="144">
        <f t="shared" si="2"/>
        <v>26429</v>
      </c>
      <c r="K32" s="135">
        <v>25.76</v>
      </c>
      <c r="L32" s="151">
        <f t="shared" si="3"/>
        <v>680811.04</v>
      </c>
    </row>
    <row r="33" spans="1:12" ht="60">
      <c r="A33" s="203"/>
      <c r="B33" s="97" t="s">
        <v>65</v>
      </c>
      <c r="C33" s="126" t="s">
        <v>67</v>
      </c>
      <c r="D33" s="156"/>
      <c r="E33" s="148">
        <v>10000</v>
      </c>
      <c r="F33" s="148"/>
      <c r="G33" s="149">
        <f t="shared" si="0"/>
        <v>10000</v>
      </c>
      <c r="H33" s="144">
        <f t="shared" si="1"/>
        <v>10000</v>
      </c>
      <c r="I33" s="150">
        <v>8978</v>
      </c>
      <c r="J33" s="144">
        <f t="shared" si="2"/>
        <v>1022</v>
      </c>
      <c r="K33" s="134">
        <v>30.998999999999999</v>
      </c>
      <c r="L33" s="151">
        <f t="shared" si="3"/>
        <v>31680.977999999999</v>
      </c>
    </row>
    <row r="34" spans="1:12" ht="48">
      <c r="A34" s="114">
        <v>33</v>
      </c>
      <c r="B34" s="127" t="s">
        <v>31</v>
      </c>
      <c r="C34" s="127" t="s">
        <v>32</v>
      </c>
      <c r="D34" s="157">
        <v>16174</v>
      </c>
      <c r="E34" s="148"/>
      <c r="F34" s="149">
        <v>6051</v>
      </c>
      <c r="G34" s="149">
        <f t="shared" si="0"/>
        <v>22225</v>
      </c>
      <c r="H34" s="144">
        <f t="shared" si="1"/>
        <v>16174</v>
      </c>
      <c r="I34" s="150">
        <v>4029</v>
      </c>
      <c r="J34" s="144">
        <f t="shared" si="2"/>
        <v>12145</v>
      </c>
      <c r="K34" s="138">
        <v>4.8</v>
      </c>
      <c r="L34" s="151">
        <f t="shared" si="3"/>
        <v>58296</v>
      </c>
    </row>
    <row r="35" spans="1:12" ht="47.25" customHeight="1">
      <c r="A35" s="115">
        <v>33</v>
      </c>
      <c r="B35" s="95" t="s">
        <v>33</v>
      </c>
      <c r="C35" s="95" t="s">
        <v>34</v>
      </c>
      <c r="D35" s="155">
        <v>1800</v>
      </c>
      <c r="E35" s="148">
        <v>2370</v>
      </c>
      <c r="F35" s="149">
        <v>2028</v>
      </c>
      <c r="G35" s="149">
        <f t="shared" si="0"/>
        <v>6198</v>
      </c>
      <c r="H35" s="144">
        <f t="shared" si="1"/>
        <v>4170</v>
      </c>
      <c r="I35" s="150">
        <v>1362</v>
      </c>
      <c r="J35" s="144">
        <f t="shared" si="2"/>
        <v>2808</v>
      </c>
      <c r="K35" s="135">
        <v>79.558000000000007</v>
      </c>
      <c r="L35" s="151">
        <f t="shared" si="3"/>
        <v>223398.86400000003</v>
      </c>
    </row>
    <row r="36" spans="1:12" ht="24.75" customHeight="1">
      <c r="A36" s="114">
        <v>34</v>
      </c>
      <c r="B36" s="96" t="s">
        <v>35</v>
      </c>
      <c r="C36" s="95" t="s">
        <v>36</v>
      </c>
      <c r="D36" s="155">
        <v>11600</v>
      </c>
      <c r="E36" s="148">
        <v>10000</v>
      </c>
      <c r="F36" s="149">
        <v>10000</v>
      </c>
      <c r="G36" s="149">
        <f t="shared" si="0"/>
        <v>31600</v>
      </c>
      <c r="H36" s="144">
        <f t="shared" si="1"/>
        <v>21600</v>
      </c>
      <c r="I36" s="150">
        <v>10436</v>
      </c>
      <c r="J36" s="144">
        <f t="shared" si="2"/>
        <v>11164</v>
      </c>
      <c r="K36" s="136">
        <v>0.36980000000000002</v>
      </c>
      <c r="L36" s="151">
        <f t="shared" si="3"/>
        <v>4128.4472000000005</v>
      </c>
    </row>
    <row r="37" spans="1:12" ht="24.75">
      <c r="A37" s="116">
        <v>35</v>
      </c>
      <c r="B37" s="98" t="s">
        <v>68</v>
      </c>
      <c r="C37" s="99" t="s">
        <v>168</v>
      </c>
      <c r="D37" s="153"/>
      <c r="E37" s="152">
        <v>525600</v>
      </c>
      <c r="F37" s="148"/>
      <c r="G37" s="149">
        <f t="shared" si="0"/>
        <v>525600</v>
      </c>
      <c r="H37" s="144">
        <f t="shared" si="1"/>
        <v>525600</v>
      </c>
      <c r="I37" s="150">
        <v>438731</v>
      </c>
      <c r="J37" s="144">
        <f t="shared" si="2"/>
        <v>86869</v>
      </c>
      <c r="K37" s="139">
        <v>0.57999999999999996</v>
      </c>
      <c r="L37" s="151">
        <f t="shared" si="3"/>
        <v>50384.02</v>
      </c>
    </row>
    <row r="38" spans="1:12" ht="48.75">
      <c r="A38" s="117">
        <v>36</v>
      </c>
      <c r="B38" s="98" t="s">
        <v>70</v>
      </c>
      <c r="C38" s="109" t="s">
        <v>169</v>
      </c>
      <c r="D38" s="152"/>
      <c r="E38" s="152">
        <v>262800</v>
      </c>
      <c r="F38" s="148"/>
      <c r="G38" s="149">
        <f t="shared" si="0"/>
        <v>262800</v>
      </c>
      <c r="H38" s="144">
        <f t="shared" si="1"/>
        <v>262800</v>
      </c>
      <c r="I38" s="150">
        <v>236764</v>
      </c>
      <c r="J38" s="144">
        <f t="shared" si="2"/>
        <v>26036</v>
      </c>
      <c r="K38" s="139">
        <v>0.39</v>
      </c>
      <c r="L38" s="151">
        <f t="shared" si="3"/>
        <v>10154.040000000001</v>
      </c>
    </row>
    <row r="39" spans="1:12" ht="36.75">
      <c r="A39" s="118">
        <v>37</v>
      </c>
      <c r="B39" s="100" t="s">
        <v>72</v>
      </c>
      <c r="C39" s="100" t="s">
        <v>170</v>
      </c>
      <c r="D39" s="149"/>
      <c r="E39" s="152">
        <v>1918440</v>
      </c>
      <c r="F39" s="148"/>
      <c r="G39" s="149">
        <f t="shared" si="0"/>
        <v>1918440</v>
      </c>
      <c r="H39" s="144">
        <f t="shared" si="1"/>
        <v>1918440</v>
      </c>
      <c r="I39" s="150">
        <v>1889838</v>
      </c>
      <c r="J39" s="144">
        <f t="shared" si="2"/>
        <v>28602</v>
      </c>
      <c r="K39" s="140">
        <v>0.70299999999999996</v>
      </c>
      <c r="L39" s="151">
        <f t="shared" si="3"/>
        <v>20107.205999999998</v>
      </c>
    </row>
    <row r="40" spans="1:12" ht="24.75">
      <c r="A40" s="119">
        <v>38</v>
      </c>
      <c r="B40" s="100" t="s">
        <v>74</v>
      </c>
      <c r="C40" s="100" t="s">
        <v>75</v>
      </c>
      <c r="D40" s="149"/>
      <c r="E40" s="152">
        <v>1133350</v>
      </c>
      <c r="F40" s="148"/>
      <c r="G40" s="149">
        <f t="shared" si="0"/>
        <v>1133350</v>
      </c>
      <c r="H40" s="144">
        <f t="shared" si="1"/>
        <v>1133350</v>
      </c>
      <c r="I40" s="150">
        <v>1057995</v>
      </c>
      <c r="J40" s="144">
        <f t="shared" si="2"/>
        <v>75355</v>
      </c>
      <c r="K40" s="141">
        <v>6.9599999999999995E-2</v>
      </c>
      <c r="L40" s="151">
        <f t="shared" si="3"/>
        <v>5244.7079999999996</v>
      </c>
    </row>
    <row r="41" spans="1:12" ht="24.75">
      <c r="A41" s="118">
        <v>39</v>
      </c>
      <c r="B41" s="100" t="s">
        <v>76</v>
      </c>
      <c r="C41" s="100" t="s">
        <v>77</v>
      </c>
      <c r="D41" s="149"/>
      <c r="E41" s="152">
        <v>262800</v>
      </c>
      <c r="F41" s="148"/>
      <c r="G41" s="149">
        <f t="shared" si="0"/>
        <v>262800</v>
      </c>
      <c r="H41" s="144">
        <f t="shared" si="1"/>
        <v>262800</v>
      </c>
      <c r="I41" s="150">
        <v>253716</v>
      </c>
      <c r="J41" s="144">
        <f t="shared" si="2"/>
        <v>9084</v>
      </c>
      <c r="K41" s="141">
        <f>0.0653*3.0274</f>
        <v>0.19768922</v>
      </c>
      <c r="L41" s="151">
        <f t="shared" si="3"/>
        <v>1795.80887448</v>
      </c>
    </row>
    <row r="42" spans="1:12" ht="24.75">
      <c r="A42" s="119">
        <v>40</v>
      </c>
      <c r="B42" s="100" t="s">
        <v>78</v>
      </c>
      <c r="C42" s="100" t="s">
        <v>79</v>
      </c>
      <c r="D42" s="149"/>
      <c r="E42" s="152">
        <v>1248300</v>
      </c>
      <c r="F42" s="148"/>
      <c r="G42" s="149">
        <f t="shared" si="0"/>
        <v>1248300</v>
      </c>
      <c r="H42" s="144">
        <f t="shared" si="1"/>
        <v>1248300</v>
      </c>
      <c r="I42" s="150">
        <v>885942</v>
      </c>
      <c r="J42" s="144">
        <f t="shared" si="2"/>
        <v>362358</v>
      </c>
      <c r="K42" s="141">
        <f>0.0911*3.0274</f>
        <v>0.27579614000000002</v>
      </c>
      <c r="L42" s="151">
        <f t="shared" si="3"/>
        <v>99936.937698120004</v>
      </c>
    </row>
    <row r="43" spans="1:12" ht="24.75">
      <c r="A43" s="118">
        <v>41</v>
      </c>
      <c r="B43" s="100" t="s">
        <v>80</v>
      </c>
      <c r="C43" s="100" t="s">
        <v>81</v>
      </c>
      <c r="D43" s="152"/>
      <c r="E43" s="152">
        <v>459900</v>
      </c>
      <c r="F43" s="148"/>
      <c r="G43" s="149">
        <f t="shared" si="0"/>
        <v>459900</v>
      </c>
      <c r="H43" s="144">
        <f t="shared" si="1"/>
        <v>459900</v>
      </c>
      <c r="I43" s="150">
        <v>456313</v>
      </c>
      <c r="J43" s="144">
        <f t="shared" si="2"/>
        <v>3587</v>
      </c>
      <c r="K43" s="141">
        <v>1.0943000000000001</v>
      </c>
      <c r="L43" s="151">
        <f t="shared" si="3"/>
        <v>3925.2541000000001</v>
      </c>
    </row>
    <row r="44" spans="1:12" ht="24.75">
      <c r="A44" s="119">
        <v>42</v>
      </c>
      <c r="B44" s="100" t="s">
        <v>171</v>
      </c>
      <c r="C44" s="100" t="s">
        <v>83</v>
      </c>
      <c r="D44" s="152"/>
      <c r="E44" s="152">
        <v>197100</v>
      </c>
      <c r="F44" s="148"/>
      <c r="G44" s="149">
        <f t="shared" si="0"/>
        <v>197100</v>
      </c>
      <c r="H44" s="144">
        <f t="shared" si="1"/>
        <v>197100</v>
      </c>
      <c r="I44" s="150">
        <v>187859</v>
      </c>
      <c r="J44" s="144">
        <f t="shared" si="2"/>
        <v>9241</v>
      </c>
      <c r="K44" s="139">
        <v>0.37</v>
      </c>
      <c r="L44" s="151">
        <f t="shared" si="3"/>
        <v>3419.17</v>
      </c>
    </row>
    <row r="45" spans="1:12">
      <c r="L45" s="159">
        <f>SUM(L2:L44)</f>
        <v>3398100.8347678999</v>
      </c>
    </row>
  </sheetData>
  <mergeCells count="2">
    <mergeCell ref="A32:A33"/>
    <mergeCell ref="A2:A3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opLeftCell="A4" workbookViewId="0">
      <selection activeCell="C16" sqref="C16:C17"/>
    </sheetView>
  </sheetViews>
  <sheetFormatPr defaultRowHeight="15"/>
  <cols>
    <col min="1" max="1" width="6.85546875" style="62" customWidth="1"/>
    <col min="2" max="2" width="13" style="75" customWidth="1"/>
    <col min="3" max="3" width="9.5703125" style="75" customWidth="1"/>
    <col min="4" max="4" width="12.42578125" style="75" customWidth="1"/>
    <col min="5" max="5" width="9" style="75" customWidth="1"/>
    <col min="6" max="7" width="13.85546875" style="75" customWidth="1"/>
    <col min="8" max="8" width="9.28515625" style="75" customWidth="1"/>
    <col min="9" max="9" width="11.140625" style="75" customWidth="1"/>
    <col min="10" max="10" width="11.5703125" style="75" customWidth="1"/>
    <col min="11" max="11" width="13.140625" style="75" customWidth="1"/>
    <col min="12" max="12" width="38.42578125" customWidth="1"/>
    <col min="13" max="13" width="17.42578125" customWidth="1"/>
    <col min="14" max="14" width="27.140625" customWidth="1"/>
  </cols>
  <sheetData>
    <row r="1" spans="1:14" ht="66.75" customHeight="1">
      <c r="A1" s="1" t="s">
        <v>0</v>
      </c>
      <c r="B1" s="76" t="s">
        <v>87</v>
      </c>
      <c r="C1" s="77" t="s">
        <v>101</v>
      </c>
      <c r="D1" s="77" t="s">
        <v>125</v>
      </c>
      <c r="E1" s="77" t="s">
        <v>119</v>
      </c>
      <c r="F1" s="77" t="s">
        <v>118</v>
      </c>
      <c r="G1" s="77" t="s">
        <v>126</v>
      </c>
      <c r="H1" s="77" t="s">
        <v>120</v>
      </c>
      <c r="I1" s="77" t="s">
        <v>121</v>
      </c>
      <c r="J1" s="77" t="s">
        <v>122</v>
      </c>
      <c r="K1" s="77" t="s">
        <v>131</v>
      </c>
      <c r="L1" s="6" t="s">
        <v>102</v>
      </c>
      <c r="M1" s="5" t="s">
        <v>103</v>
      </c>
      <c r="N1" s="57" t="s">
        <v>104</v>
      </c>
    </row>
    <row r="2" spans="1:14" ht="72.75" customHeight="1">
      <c r="A2" s="18">
        <v>1</v>
      </c>
      <c r="B2" s="78" t="s">
        <v>3</v>
      </c>
      <c r="C2" s="63">
        <v>790540</v>
      </c>
      <c r="D2" s="78" t="s">
        <v>3</v>
      </c>
      <c r="E2" s="64">
        <v>5.8500000000000003E-2</v>
      </c>
      <c r="F2" s="63">
        <f t="shared" ref="F2:F17" si="0">C2*E2</f>
        <v>46246.590000000004</v>
      </c>
      <c r="G2" s="65"/>
      <c r="H2" s="63"/>
      <c r="I2" s="63">
        <f t="shared" ref="I2:I17" si="1">C2*H2</f>
        <v>0</v>
      </c>
      <c r="J2" s="63" t="s">
        <v>123</v>
      </c>
      <c r="K2" s="63"/>
      <c r="L2" s="58" t="s">
        <v>105</v>
      </c>
      <c r="M2" s="59" t="s">
        <v>106</v>
      </c>
      <c r="N2" s="7"/>
    </row>
    <row r="3" spans="1:14" ht="55.5">
      <c r="A3" s="18">
        <v>2</v>
      </c>
      <c r="B3" s="79" t="s">
        <v>6</v>
      </c>
      <c r="C3" s="63">
        <v>1239056</v>
      </c>
      <c r="D3" s="79" t="s">
        <v>41</v>
      </c>
      <c r="E3" s="66">
        <v>0.21840000000000001</v>
      </c>
      <c r="F3" s="63">
        <f t="shared" si="0"/>
        <v>270609.83040000004</v>
      </c>
      <c r="G3" s="65"/>
      <c r="H3" s="63"/>
      <c r="I3" s="63">
        <f t="shared" si="1"/>
        <v>0</v>
      </c>
      <c r="J3" s="63" t="s">
        <v>123</v>
      </c>
      <c r="K3" s="63"/>
      <c r="L3" s="58" t="s">
        <v>107</v>
      </c>
      <c r="M3" s="59" t="s">
        <v>106</v>
      </c>
      <c r="N3" s="7"/>
    </row>
    <row r="4" spans="1:14" ht="64.5">
      <c r="A4" s="18">
        <v>3</v>
      </c>
      <c r="B4" s="79" t="s">
        <v>8</v>
      </c>
      <c r="C4" s="63">
        <v>677880</v>
      </c>
      <c r="D4" s="79" t="s">
        <v>9</v>
      </c>
      <c r="E4" s="67">
        <v>4.7500000000000001E-2</v>
      </c>
      <c r="F4" s="63">
        <f t="shared" si="0"/>
        <v>32199.3</v>
      </c>
      <c r="G4" s="65"/>
      <c r="H4" s="63"/>
      <c r="I4" s="63">
        <f t="shared" si="1"/>
        <v>0</v>
      </c>
      <c r="J4" s="63" t="s">
        <v>123</v>
      </c>
      <c r="K4" s="63"/>
      <c r="L4" s="58" t="s">
        <v>108</v>
      </c>
      <c r="M4" s="59" t="s">
        <v>106</v>
      </c>
      <c r="N4" s="7"/>
    </row>
    <row r="5" spans="1:14" ht="64.5">
      <c r="A5" s="18">
        <v>4</v>
      </c>
      <c r="B5" s="79" t="s">
        <v>11</v>
      </c>
      <c r="C5" s="63">
        <v>42480</v>
      </c>
      <c r="D5" s="79" t="s">
        <v>12</v>
      </c>
      <c r="E5" s="67">
        <v>0.188</v>
      </c>
      <c r="F5" s="63">
        <f t="shared" si="0"/>
        <v>7986.24</v>
      </c>
      <c r="G5" s="65"/>
      <c r="H5" s="63"/>
      <c r="I5" s="63">
        <f t="shared" si="1"/>
        <v>0</v>
      </c>
      <c r="J5" s="63" t="s">
        <v>123</v>
      </c>
      <c r="K5" s="63"/>
      <c r="L5" s="58" t="s">
        <v>109</v>
      </c>
      <c r="M5" s="59" t="s">
        <v>106</v>
      </c>
      <c r="N5" s="7"/>
    </row>
    <row r="6" spans="1:14" ht="48.75">
      <c r="A6" s="18">
        <v>5</v>
      </c>
      <c r="B6" s="79" t="s">
        <v>15</v>
      </c>
      <c r="C6" s="63">
        <v>401520</v>
      </c>
      <c r="D6" s="79" t="s">
        <v>127</v>
      </c>
      <c r="E6" s="67">
        <v>0.155</v>
      </c>
      <c r="F6" s="63">
        <f t="shared" si="0"/>
        <v>62235.6</v>
      </c>
      <c r="G6" s="65" t="s">
        <v>128</v>
      </c>
      <c r="H6" s="85">
        <v>0.23</v>
      </c>
      <c r="I6" s="63">
        <f t="shared" si="1"/>
        <v>92349.6</v>
      </c>
      <c r="J6" s="87" t="s">
        <v>124</v>
      </c>
      <c r="K6" s="88" t="s">
        <v>132</v>
      </c>
      <c r="L6" s="89" t="s">
        <v>146</v>
      </c>
      <c r="M6" s="89" t="s">
        <v>106</v>
      </c>
      <c r="N6" s="89" t="s">
        <v>148</v>
      </c>
    </row>
    <row r="7" spans="1:14" ht="48.75">
      <c r="A7" s="18">
        <v>6</v>
      </c>
      <c r="B7" s="79" t="s">
        <v>16</v>
      </c>
      <c r="C7" s="63">
        <v>131950</v>
      </c>
      <c r="D7" s="79" t="s">
        <v>129</v>
      </c>
      <c r="E7" s="67">
        <v>2.9399999999999999E-2</v>
      </c>
      <c r="F7" s="63">
        <f t="shared" si="0"/>
        <v>3879.33</v>
      </c>
      <c r="G7" s="79" t="s">
        <v>129</v>
      </c>
      <c r="H7" s="86">
        <v>0.04</v>
      </c>
      <c r="I7" s="63">
        <f t="shared" si="1"/>
        <v>5278</v>
      </c>
      <c r="J7" s="87" t="s">
        <v>124</v>
      </c>
      <c r="K7" s="88" t="s">
        <v>132</v>
      </c>
      <c r="L7" s="89" t="s">
        <v>147</v>
      </c>
      <c r="M7" s="89" t="s">
        <v>106</v>
      </c>
      <c r="N7" s="89" t="s">
        <v>112</v>
      </c>
    </row>
    <row r="8" spans="1:14" ht="48.75">
      <c r="A8" s="19">
        <v>7</v>
      </c>
      <c r="B8" s="80" t="s">
        <v>21</v>
      </c>
      <c r="C8" s="63">
        <v>2123400</v>
      </c>
      <c r="D8" s="80" t="s">
        <v>134</v>
      </c>
      <c r="E8" s="68">
        <v>8.4500000000000006E-2</v>
      </c>
      <c r="F8" s="63">
        <f t="shared" si="0"/>
        <v>179427.30000000002</v>
      </c>
      <c r="G8" s="80" t="s">
        <v>134</v>
      </c>
      <c r="H8" s="63">
        <v>0.1</v>
      </c>
      <c r="I8" s="63">
        <f t="shared" si="1"/>
        <v>212340</v>
      </c>
      <c r="J8" s="87" t="s">
        <v>130</v>
      </c>
      <c r="K8" s="88" t="s">
        <v>133</v>
      </c>
      <c r="L8" s="89" t="s">
        <v>149</v>
      </c>
      <c r="M8" s="89" t="s">
        <v>106</v>
      </c>
      <c r="N8" s="89" t="s">
        <v>148</v>
      </c>
    </row>
    <row r="9" spans="1:14" ht="48.75">
      <c r="A9" s="19">
        <v>8</v>
      </c>
      <c r="B9" s="80" t="s">
        <v>23</v>
      </c>
      <c r="C9" s="63">
        <v>316800</v>
      </c>
      <c r="D9" s="80" t="s">
        <v>135</v>
      </c>
      <c r="E9" s="69">
        <v>0.1119</v>
      </c>
      <c r="F9" s="63">
        <f t="shared" si="0"/>
        <v>35449.919999999998</v>
      </c>
      <c r="G9" s="80" t="s">
        <v>135</v>
      </c>
      <c r="H9" s="63">
        <v>0.16</v>
      </c>
      <c r="I9" s="63">
        <f t="shared" si="1"/>
        <v>50688</v>
      </c>
      <c r="J9" s="87" t="s">
        <v>130</v>
      </c>
      <c r="K9" s="88" t="s">
        <v>133</v>
      </c>
      <c r="L9" s="89" t="s">
        <v>150</v>
      </c>
      <c r="M9" s="89" t="s">
        <v>106</v>
      </c>
      <c r="N9" s="89" t="s">
        <v>148</v>
      </c>
    </row>
    <row r="10" spans="1:14" ht="64.5">
      <c r="A10" s="19">
        <v>9</v>
      </c>
      <c r="B10" s="80" t="s">
        <v>24</v>
      </c>
      <c r="C10" s="63">
        <v>572580</v>
      </c>
      <c r="D10" s="80" t="s">
        <v>136</v>
      </c>
      <c r="E10" s="70">
        <v>0.109</v>
      </c>
      <c r="F10" s="63">
        <f t="shared" si="0"/>
        <v>62411.22</v>
      </c>
      <c r="G10" s="80" t="s">
        <v>136</v>
      </c>
      <c r="H10" s="63">
        <v>0.12</v>
      </c>
      <c r="I10" s="63">
        <f t="shared" si="1"/>
        <v>68709.599999999991</v>
      </c>
      <c r="J10" s="87" t="s">
        <v>130</v>
      </c>
      <c r="K10" s="88" t="s">
        <v>133</v>
      </c>
      <c r="L10" s="58" t="s">
        <v>110</v>
      </c>
      <c r="M10" s="59" t="s">
        <v>106</v>
      </c>
      <c r="N10" s="7"/>
    </row>
    <row r="11" spans="1:14" ht="64.5">
      <c r="A11" s="60">
        <v>10</v>
      </c>
      <c r="B11" s="81" t="s">
        <v>26</v>
      </c>
      <c r="C11" s="63">
        <v>44100</v>
      </c>
      <c r="D11" s="81" t="s">
        <v>27</v>
      </c>
      <c r="E11" s="66">
        <v>0.16520000000000001</v>
      </c>
      <c r="F11" s="63">
        <f t="shared" si="0"/>
        <v>7285.3200000000006</v>
      </c>
      <c r="G11" s="71"/>
      <c r="H11" s="63"/>
      <c r="I11" s="63">
        <f t="shared" si="1"/>
        <v>0</v>
      </c>
      <c r="J11" s="63" t="s">
        <v>123</v>
      </c>
      <c r="K11" s="63"/>
      <c r="L11" s="58" t="s">
        <v>111</v>
      </c>
      <c r="M11" s="59" t="s">
        <v>106</v>
      </c>
      <c r="N11" s="7" t="s">
        <v>112</v>
      </c>
    </row>
    <row r="12" spans="1:14" ht="64.5">
      <c r="A12" s="60">
        <v>11</v>
      </c>
      <c r="B12" s="81" t="s">
        <v>28</v>
      </c>
      <c r="C12" s="63">
        <v>722850</v>
      </c>
      <c r="D12" s="81" t="s">
        <v>138</v>
      </c>
      <c r="E12" s="68">
        <v>4.4999999999999998E-2</v>
      </c>
      <c r="F12" s="63">
        <f t="shared" si="0"/>
        <v>32528.25</v>
      </c>
      <c r="G12" s="71" t="s">
        <v>137</v>
      </c>
      <c r="H12" s="63">
        <v>0.14000000000000001</v>
      </c>
      <c r="I12" s="63">
        <f t="shared" si="1"/>
        <v>101199.00000000001</v>
      </c>
      <c r="J12" s="87" t="s">
        <v>130</v>
      </c>
      <c r="K12" s="88" t="s">
        <v>133</v>
      </c>
      <c r="L12" s="58" t="s">
        <v>110</v>
      </c>
      <c r="M12" s="59" t="s">
        <v>106</v>
      </c>
      <c r="N12" s="7" t="s">
        <v>112</v>
      </c>
    </row>
    <row r="13" spans="1:14" ht="69" customHeight="1">
      <c r="A13" s="21">
        <v>12</v>
      </c>
      <c r="B13" s="82" t="s">
        <v>29</v>
      </c>
      <c r="C13" s="63">
        <v>19000</v>
      </c>
      <c r="D13" s="82" t="s">
        <v>139</v>
      </c>
      <c r="E13" s="66">
        <v>3.2294999999999998</v>
      </c>
      <c r="F13" s="63">
        <f t="shared" si="0"/>
        <v>61360.5</v>
      </c>
      <c r="G13" s="82" t="s">
        <v>139</v>
      </c>
      <c r="H13" s="72">
        <v>2.0390000000000001</v>
      </c>
      <c r="I13" s="63">
        <f t="shared" si="1"/>
        <v>38741</v>
      </c>
      <c r="J13" s="87" t="s">
        <v>140</v>
      </c>
      <c r="K13" s="63" t="s">
        <v>141</v>
      </c>
      <c r="L13" s="58" t="s">
        <v>113</v>
      </c>
      <c r="M13" s="59" t="s">
        <v>106</v>
      </c>
      <c r="N13" s="7"/>
    </row>
    <row r="14" spans="1:14" ht="64.5">
      <c r="A14" s="21">
        <v>13</v>
      </c>
      <c r="B14" s="82" t="s">
        <v>84</v>
      </c>
      <c r="C14" s="63">
        <v>20000</v>
      </c>
      <c r="D14" s="82" t="s">
        <v>145</v>
      </c>
      <c r="E14" s="68">
        <v>25.76</v>
      </c>
      <c r="F14" s="63">
        <f t="shared" si="0"/>
        <v>515200.00000000006</v>
      </c>
      <c r="G14" s="82" t="s">
        <v>145</v>
      </c>
      <c r="H14" s="83">
        <v>38.74</v>
      </c>
      <c r="I14" s="63">
        <f t="shared" si="1"/>
        <v>774800</v>
      </c>
      <c r="J14" s="63" t="s">
        <v>144</v>
      </c>
      <c r="K14" s="63" t="s">
        <v>133</v>
      </c>
      <c r="L14" s="58" t="s">
        <v>114</v>
      </c>
      <c r="M14" s="59" t="s">
        <v>106</v>
      </c>
      <c r="N14" s="7"/>
    </row>
    <row r="15" spans="1:14" ht="62.25" customHeight="1">
      <c r="A15" s="21">
        <v>14</v>
      </c>
      <c r="B15" s="84" t="s">
        <v>31</v>
      </c>
      <c r="C15" s="63">
        <v>6051</v>
      </c>
      <c r="D15" s="84" t="s">
        <v>143</v>
      </c>
      <c r="E15" s="74">
        <v>4.8</v>
      </c>
      <c r="F15" s="63">
        <f t="shared" si="0"/>
        <v>29044.799999999999</v>
      </c>
      <c r="G15" s="73" t="s">
        <v>142</v>
      </c>
      <c r="H15" s="63">
        <v>0.76</v>
      </c>
      <c r="I15" s="63">
        <f t="shared" si="1"/>
        <v>4598.76</v>
      </c>
      <c r="J15" s="87" t="s">
        <v>140</v>
      </c>
      <c r="K15" s="63" t="s">
        <v>141</v>
      </c>
      <c r="L15" s="89" t="s">
        <v>151</v>
      </c>
      <c r="M15" s="89" t="s">
        <v>106</v>
      </c>
      <c r="N15" s="89" t="s">
        <v>152</v>
      </c>
    </row>
    <row r="16" spans="1:14" ht="145.5">
      <c r="A16" s="21">
        <v>15</v>
      </c>
      <c r="B16" s="82" t="s">
        <v>33</v>
      </c>
      <c r="C16" s="63">
        <v>2028</v>
      </c>
      <c r="D16" s="82" t="s">
        <v>34</v>
      </c>
      <c r="E16" s="68">
        <v>79.558000000000007</v>
      </c>
      <c r="F16" s="63">
        <f t="shared" si="0"/>
        <v>161343.62400000001</v>
      </c>
      <c r="G16" s="73"/>
      <c r="H16" s="63"/>
      <c r="I16" s="63">
        <f t="shared" si="1"/>
        <v>0</v>
      </c>
      <c r="J16" s="63" t="s">
        <v>123</v>
      </c>
      <c r="K16" s="63"/>
      <c r="L16" s="58" t="s">
        <v>115</v>
      </c>
      <c r="M16" s="61" t="s">
        <v>116</v>
      </c>
      <c r="N16" s="7" t="s">
        <v>112</v>
      </c>
    </row>
    <row r="17" spans="1:14" ht="49.5" thickBot="1">
      <c r="A17" s="21">
        <v>16</v>
      </c>
      <c r="B17" s="82" t="s">
        <v>35</v>
      </c>
      <c r="C17" s="63">
        <v>10000</v>
      </c>
      <c r="D17" s="82" t="s">
        <v>36</v>
      </c>
      <c r="E17" s="69">
        <v>0.36980000000000002</v>
      </c>
      <c r="F17" s="63">
        <f t="shared" si="0"/>
        <v>3698</v>
      </c>
      <c r="G17" s="73"/>
      <c r="H17" s="63"/>
      <c r="I17" s="63">
        <f t="shared" si="1"/>
        <v>0</v>
      </c>
      <c r="J17" s="63" t="s">
        <v>123</v>
      </c>
      <c r="K17" s="63"/>
      <c r="L17" s="90" t="s">
        <v>153</v>
      </c>
      <c r="M17" s="90" t="s">
        <v>106</v>
      </c>
      <c r="N17" s="90" t="s">
        <v>117</v>
      </c>
    </row>
  </sheetData>
  <autoFilter ref="A1:N17"/>
  <pageMargins left="0" right="0" top="0" bottom="0" header="0" footer="0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ანალიზი 21.05.19</vt:lpstr>
      <vt:lpstr>ვადები</vt:lpstr>
      <vt:lpstr>შესყიდული რაოდენობა</vt:lpstr>
      <vt:lpstr>შესყიდვა</vt:lpstr>
      <vt:lpstr>'ანალიზი 21.05.19'!Print_Titles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2019-03-12T07:30:10Z</cp:lastPrinted>
  <dcterms:created xsi:type="dcterms:W3CDTF">2018-05-21T09:36:44Z</dcterms:created>
  <dcterms:modified xsi:type="dcterms:W3CDTF">2019-05-21T14:19:29Z</dcterms:modified>
</cp:coreProperties>
</file>